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30" windowWidth="11910" windowHeight="6795" tabRatio="685" firstSheet="3" activeTab="3"/>
  </bookViews>
  <sheets>
    <sheet name="03-04 Source" sheetId="1" r:id="rId1"/>
    <sheet name="04-05" sheetId="2" r:id="rId2"/>
    <sheet name="05-06" sheetId="6" r:id="rId3"/>
    <sheet name="Table" sheetId="5" r:id="rId4"/>
  </sheets>
  <calcPr calcId="145621"/>
</workbook>
</file>

<file path=xl/calcChain.xml><?xml version="1.0" encoding="utf-8"?>
<calcChain xmlns="http://schemas.openxmlformats.org/spreadsheetml/2006/main">
  <c r="J38" i="5" l="1"/>
  <c r="I38" i="5"/>
  <c r="G38" i="5"/>
  <c r="E38" i="5"/>
  <c r="D38" i="5"/>
  <c r="B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38" i="5" s="1"/>
  <c r="G32" i="6"/>
  <c r="F32" i="6"/>
  <c r="D32" i="6"/>
  <c r="B32" i="6"/>
  <c r="C32" i="6"/>
  <c r="M31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5" i="6"/>
  <c r="H5" i="6"/>
  <c r="H32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E5" i="6"/>
  <c r="E32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O18" i="2"/>
  <c r="O22" i="2"/>
  <c r="O26" i="2"/>
  <c r="O30" i="2"/>
  <c r="O34" i="2"/>
  <c r="K10" i="2"/>
  <c r="K11" i="2"/>
  <c r="O11" i="2"/>
  <c r="K12" i="2"/>
  <c r="O12" i="2"/>
  <c r="K13" i="2"/>
  <c r="O13" i="2"/>
  <c r="Q13" i="2"/>
  <c r="K14" i="2"/>
  <c r="K15" i="2"/>
  <c r="O15" i="2"/>
  <c r="K16" i="2"/>
  <c r="O16" i="2"/>
  <c r="K17" i="2"/>
  <c r="O17" i="2"/>
  <c r="Q17" i="2"/>
  <c r="K18" i="2"/>
  <c r="K19" i="2"/>
  <c r="O19" i="2"/>
  <c r="K20" i="2"/>
  <c r="O20" i="2"/>
  <c r="K21" i="2"/>
  <c r="O21" i="2"/>
  <c r="Q21" i="2"/>
  <c r="K22" i="2"/>
  <c r="K23" i="2"/>
  <c r="O23" i="2"/>
  <c r="K24" i="2"/>
  <c r="O24" i="2"/>
  <c r="K25" i="2"/>
  <c r="O25" i="2"/>
  <c r="Q25" i="2"/>
  <c r="K26" i="2"/>
  <c r="K27" i="2"/>
  <c r="O27" i="2"/>
  <c r="K28" i="2"/>
  <c r="O28" i="2"/>
  <c r="K29" i="2"/>
  <c r="O29" i="2"/>
  <c r="Q29" i="2"/>
  <c r="K30" i="2"/>
  <c r="K31" i="2"/>
  <c r="O31" i="2"/>
  <c r="K32" i="2"/>
  <c r="O32" i="2"/>
  <c r="K33" i="2"/>
  <c r="O33" i="2"/>
  <c r="Q33" i="2"/>
  <c r="K34" i="2"/>
  <c r="K35" i="2"/>
  <c r="O35" i="2"/>
  <c r="K9" i="2"/>
  <c r="K36" i="2"/>
  <c r="P13" i="2"/>
  <c r="P17" i="2"/>
  <c r="P18" i="2"/>
  <c r="P21" i="2"/>
  <c r="P22" i="2"/>
  <c r="P25" i="2"/>
  <c r="P26" i="2"/>
  <c r="P29" i="2"/>
  <c r="P30" i="2"/>
  <c r="P33" i="2"/>
  <c r="P34" i="2"/>
  <c r="N10" i="2"/>
  <c r="N13" i="2"/>
  <c r="N14" i="2"/>
  <c r="N17" i="2"/>
  <c r="N18" i="2"/>
  <c r="N21" i="2"/>
  <c r="N22" i="2"/>
  <c r="N25" i="2"/>
  <c r="N26" i="2"/>
  <c r="N29" i="2"/>
  <c r="N30" i="2"/>
  <c r="N33" i="2"/>
  <c r="N34" i="2"/>
  <c r="M35" i="2"/>
  <c r="P35" i="2"/>
  <c r="M15" i="2"/>
  <c r="P15" i="2"/>
  <c r="M10" i="2"/>
  <c r="O10" i="2"/>
  <c r="M11" i="2"/>
  <c r="P11" i="2"/>
  <c r="M12" i="2"/>
  <c r="P12" i="2"/>
  <c r="M13" i="2"/>
  <c r="M14" i="2"/>
  <c r="O14" i="2"/>
  <c r="M16" i="2"/>
  <c r="P16" i="2"/>
  <c r="M17" i="2"/>
  <c r="M18" i="2"/>
  <c r="M19" i="2"/>
  <c r="P19" i="2"/>
  <c r="M20" i="2"/>
  <c r="P20" i="2"/>
  <c r="M21" i="2"/>
  <c r="M22" i="2"/>
  <c r="M23" i="2"/>
  <c r="P23" i="2"/>
  <c r="M24" i="2"/>
  <c r="P24" i="2"/>
  <c r="M25" i="2"/>
  <c r="M26" i="2"/>
  <c r="M27" i="2"/>
  <c r="P27" i="2"/>
  <c r="M28" i="2"/>
  <c r="P28" i="2"/>
  <c r="M29" i="2"/>
  <c r="M30" i="2"/>
  <c r="M31" i="2"/>
  <c r="P31" i="2"/>
  <c r="M32" i="2"/>
  <c r="P32" i="2"/>
  <c r="M33" i="2"/>
  <c r="M34" i="2"/>
  <c r="M9" i="2"/>
  <c r="P9" i="2"/>
  <c r="L36" i="2"/>
  <c r="J36" i="2"/>
  <c r="I36" i="2"/>
  <c r="H10" i="2"/>
  <c r="H12" i="2"/>
  <c r="H36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E36" i="2"/>
  <c r="D36" i="2"/>
  <c r="C36" i="2"/>
  <c r="B36" i="2"/>
  <c r="Q18" i="2"/>
  <c r="Q22" i="2"/>
  <c r="Q26" i="2"/>
  <c r="Q30" i="2"/>
  <c r="Q34" i="2"/>
  <c r="F36" i="2"/>
  <c r="G36" i="2"/>
  <c r="K39" i="1"/>
  <c r="J39" i="1"/>
  <c r="I39" i="1"/>
  <c r="H39" i="1"/>
  <c r="G39" i="1"/>
  <c r="F39" i="1"/>
  <c r="E39" i="1"/>
  <c r="M36" i="2"/>
  <c r="O36" i="2"/>
  <c r="N32" i="2"/>
  <c r="Q32" i="2"/>
  <c r="N28" i="2"/>
  <c r="Q28" i="2"/>
  <c r="N24" i="2"/>
  <c r="Q24" i="2"/>
  <c r="N20" i="2"/>
  <c r="Q20" i="2"/>
  <c r="N16" i="2"/>
  <c r="Q16" i="2"/>
  <c r="N12" i="2"/>
  <c r="Q12" i="2"/>
  <c r="N9" i="2"/>
  <c r="Q9" i="2"/>
  <c r="O9" i="2"/>
  <c r="N35" i="2"/>
  <c r="Q35" i="2"/>
  <c r="N31" i="2"/>
  <c r="Q31" i="2"/>
  <c r="N27" i="2"/>
  <c r="Q27" i="2"/>
  <c r="N23" i="2"/>
  <c r="Q23" i="2"/>
  <c r="N19" i="2"/>
  <c r="Q19" i="2"/>
  <c r="N15" i="2"/>
  <c r="Q15" i="2"/>
  <c r="N11" i="2"/>
  <c r="Q11" i="2"/>
  <c r="P14" i="2"/>
  <c r="Q14" i="2"/>
  <c r="P10" i="2"/>
  <c r="Q10" i="2"/>
  <c r="P36" i="2"/>
  <c r="N36" i="2"/>
  <c r="Q36" i="2"/>
</calcChain>
</file>

<file path=xl/sharedStrings.xml><?xml version="1.0" encoding="utf-8"?>
<sst xmlns="http://schemas.openxmlformats.org/spreadsheetml/2006/main" count="313" uniqueCount="146">
  <si>
    <t>CANADIAN ASSOCIATION OF RESEARCH LIBRARIES</t>
  </si>
  <si>
    <t>ASSOCIATION DES BIBLIOTHEQUES DE RECHERCHE DU CANADA</t>
  </si>
  <si>
    <t>Notes</t>
  </si>
  <si>
    <t>Professional staff</t>
  </si>
  <si>
    <t>Support staff</t>
  </si>
  <si>
    <t>Casual staff</t>
  </si>
  <si>
    <t>Total staffing expenditures</t>
  </si>
  <si>
    <t>Fringe benefits</t>
  </si>
  <si>
    <t>Other operating expenditures</t>
  </si>
  <si>
    <t>Totals</t>
  </si>
  <si>
    <t>Question number</t>
  </si>
  <si>
    <t>British Columbia</t>
  </si>
  <si>
    <t>N</t>
  </si>
  <si>
    <t>Simon Fraser</t>
  </si>
  <si>
    <t>Victoria</t>
  </si>
  <si>
    <t>U/A</t>
  </si>
  <si>
    <t>Alberta</t>
  </si>
  <si>
    <t>Calgary</t>
  </si>
  <si>
    <t>Manitoba</t>
  </si>
  <si>
    <t>Y</t>
  </si>
  <si>
    <t>Regina</t>
  </si>
  <si>
    <t>Saskatchewan</t>
  </si>
  <si>
    <t>Carleton</t>
  </si>
  <si>
    <t>Guelph</t>
  </si>
  <si>
    <t>McMaster</t>
  </si>
  <si>
    <t>Ottawa</t>
  </si>
  <si>
    <t>Queen's</t>
  </si>
  <si>
    <t>Toronto</t>
  </si>
  <si>
    <t>Waterloo</t>
  </si>
  <si>
    <t>Western Ontario</t>
  </si>
  <si>
    <t>Windsor</t>
  </si>
  <si>
    <t>York</t>
  </si>
  <si>
    <t>Concordia</t>
  </si>
  <si>
    <t>Laval</t>
  </si>
  <si>
    <t>McGill</t>
  </si>
  <si>
    <t>Montréal</t>
  </si>
  <si>
    <t>Québec</t>
  </si>
  <si>
    <t>Sherbrooke</t>
  </si>
  <si>
    <t>Dalhousie</t>
  </si>
  <si>
    <t xml:space="preserve">Memorial </t>
  </si>
  <si>
    <t xml:space="preserve">New Brunswick </t>
  </si>
  <si>
    <t>National average</t>
  </si>
  <si>
    <t>U/A = Unavailable</t>
  </si>
  <si>
    <t>N/A = Not applicable / Non applicable</t>
  </si>
  <si>
    <t>N/R = Did not reply to the survey</t>
  </si>
  <si>
    <t>Y= Fringe benefits are paid from the library budget</t>
  </si>
  <si>
    <t xml:space="preserve">N= Fringe benefits are paid from the University budget </t>
  </si>
  <si>
    <t>Support and Casual Staff</t>
  </si>
  <si>
    <t>Staffing</t>
  </si>
  <si>
    <t>Materials</t>
  </si>
  <si>
    <t>Monographs</t>
  </si>
  <si>
    <t>Serials</t>
  </si>
  <si>
    <t>Total materials expenditures (includes binding)</t>
  </si>
  <si>
    <t>Total Expenditures</t>
  </si>
  <si>
    <t>Salaries</t>
  </si>
  <si>
    <t>Operating</t>
  </si>
  <si>
    <t>University of British Columbia</t>
  </si>
  <si>
    <t>Simon Fraser University</t>
  </si>
  <si>
    <t>University of Victoria</t>
  </si>
  <si>
    <t>University of Alberta</t>
  </si>
  <si>
    <t>University of Manitoba</t>
  </si>
  <si>
    <t>University of Regina</t>
  </si>
  <si>
    <t>University of Saskatchewan</t>
  </si>
  <si>
    <t>Carleton University</t>
  </si>
  <si>
    <t>University of Guelph</t>
  </si>
  <si>
    <t>McMaster University</t>
  </si>
  <si>
    <t>University of Toronto</t>
  </si>
  <si>
    <t>University of Waterloo</t>
  </si>
  <si>
    <t>University of Western Ontario</t>
  </si>
  <si>
    <t>York University</t>
  </si>
  <si>
    <t>Concordia University</t>
  </si>
  <si>
    <t>Université Laval</t>
  </si>
  <si>
    <t>McGill University</t>
  </si>
  <si>
    <t>Dalhousie University</t>
  </si>
  <si>
    <t>Memorial University of Newfoundland</t>
  </si>
  <si>
    <t>Total</t>
  </si>
  <si>
    <t>Expenditures, Establishment and Collection size for the year 2003 - 2004 (Page 6 of 9)</t>
  </si>
  <si>
    <t>Table VI - Salary and Other operating expenditures in 2003 - 2004</t>
  </si>
  <si>
    <t>exp 8_3</t>
  </si>
  <si>
    <t>exp6_1</t>
  </si>
  <si>
    <t>exp6_2</t>
  </si>
  <si>
    <t>exp6_3</t>
  </si>
  <si>
    <t>exp6_4</t>
  </si>
  <si>
    <t>exp6_5</t>
  </si>
  <si>
    <t>exp6_6</t>
  </si>
  <si>
    <t>6_4+6_5+6_6</t>
  </si>
  <si>
    <t>CISTI</t>
  </si>
  <si>
    <t>Library and Archives Canada</t>
  </si>
  <si>
    <t>N/A</t>
  </si>
  <si>
    <t>Library of Parliament</t>
  </si>
  <si>
    <t>N/R</t>
  </si>
  <si>
    <t>National total</t>
  </si>
  <si>
    <t>Total Monographs</t>
  </si>
  <si>
    <t>Total Serials</t>
  </si>
  <si>
    <t>Benefits</t>
  </si>
  <si>
    <t>Salaries + Benefits</t>
  </si>
  <si>
    <t>Université de Montréal</t>
  </si>
  <si>
    <t>UPDATING THIS FOR 2004-05</t>
  </si>
  <si>
    <t>5_7 + 5_8</t>
  </si>
  <si>
    <t>q_5_1+q_5_2</t>
  </si>
  <si>
    <t>q_5_3+q_5_4</t>
  </si>
  <si>
    <t xml:space="preserve"> </t>
  </si>
  <si>
    <t>-</t>
  </si>
  <si>
    <t>Institution</t>
  </si>
  <si>
    <t>q_5_1</t>
  </si>
  <si>
    <t>q_5_2</t>
  </si>
  <si>
    <t>q_5_3</t>
  </si>
  <si>
    <t>q_5_4</t>
  </si>
  <si>
    <t>q_5_5</t>
  </si>
  <si>
    <t>q_5_6</t>
  </si>
  <si>
    <t>q_5_7</t>
  </si>
  <si>
    <t>q_5_8</t>
  </si>
  <si>
    <t>q_5_9</t>
  </si>
  <si>
    <t>q_5_10</t>
  </si>
  <si>
    <t>University of Calgary</t>
  </si>
  <si>
    <t>Université d'Ottawa</t>
  </si>
  <si>
    <t>Queen's University</t>
  </si>
  <si>
    <t>University of Windsor</t>
  </si>
  <si>
    <t>Université du Québec à Montréal</t>
  </si>
  <si>
    <t>Université de Sherbrooke</t>
  </si>
  <si>
    <t>University of New Brunswick (Fredericton)</t>
  </si>
  <si>
    <t>Queen's University at Kingston</t>
  </si>
  <si>
    <t>Brock University</t>
  </si>
  <si>
    <t>Ryerson University</t>
  </si>
  <si>
    <t>Université d'Ottawa / University of Ottawa</t>
  </si>
  <si>
    <t xml:space="preserve">1. Includes print and electronic monographs, print and electronic serials, other library materials, miscellaneous print and electronic materials, and binding costs </t>
  </si>
  <si>
    <t xml:space="preserve">2. Includes librarians and other professionals </t>
  </si>
  <si>
    <t>Staffing / Personnel</t>
  </si>
  <si>
    <t xml:space="preserve">
</t>
  </si>
  <si>
    <t>Operating / 
Fonctionnement %</t>
  </si>
  <si>
    <t>Salaries  / 
Salaires 
%</t>
  </si>
  <si>
    <t>Materials  / 
Documents 
%</t>
  </si>
  <si>
    <t>Total Expenditures / Dépenses totales</t>
  </si>
  <si>
    <t xml:space="preserve">Other Operating Expenditures / 
Autres dépenses de fonctionnement </t>
  </si>
  <si>
    <t>Total Expenditures /
 Dépenses totales</t>
  </si>
  <si>
    <t xml:space="preserve">    Inclut les monographies imprimées et électroniques, les périodiques imprimés et électroniques, d’autres documents de la bibliothèque, des documents imprimés et électroniques divers, et les coûts de la reliure</t>
  </si>
  <si>
    <t xml:space="preserve">    Inclut les bibliothécaires et d’autres professionnels</t>
  </si>
  <si>
    <r>
      <t>Total Materials</t>
    </r>
    <r>
      <rPr>
        <b/>
        <vertAlign val="superscript"/>
        <sz val="10"/>
        <color indexed="8"/>
        <rFont val="Calibri"/>
        <family val="2"/>
      </rPr>
      <t>1</t>
    </r>
    <r>
      <rPr>
        <b/>
        <sz val="10"/>
        <color indexed="8"/>
        <rFont val="Calibri"/>
        <family val="2"/>
      </rPr>
      <t xml:space="preserve"> / 
Total des documents</t>
    </r>
    <r>
      <rPr>
        <b/>
        <vertAlign val="superscript"/>
        <sz val="10"/>
        <color indexed="8"/>
        <rFont val="Calibri"/>
        <family val="2"/>
      </rPr>
      <t xml:space="preserve">1 </t>
    </r>
  </si>
  <si>
    <t xml:space="preserve">Total Expenditures / Dépenses totales </t>
  </si>
  <si>
    <t>Benefits / 
Avantages sociaux</t>
  </si>
  <si>
    <r>
      <t>Professional</t>
    </r>
    <r>
      <rPr>
        <b/>
        <vertAlign val="superscript"/>
        <sz val="10"/>
        <color indexed="8"/>
        <rFont val="Calibri"/>
        <family val="2"/>
      </rPr>
      <t xml:space="preserve">2 </t>
    </r>
    <r>
      <rPr>
        <b/>
        <sz val="10"/>
        <color indexed="8"/>
        <rFont val="Calibri"/>
        <family val="2"/>
      </rPr>
      <t>/ 
Professionnel</t>
    </r>
    <r>
      <rPr>
        <b/>
        <vertAlign val="superscript"/>
        <sz val="10"/>
        <color indexed="8"/>
        <rFont val="Calibri"/>
        <family val="2"/>
      </rPr>
      <t>2</t>
    </r>
  </si>
  <si>
    <t>Support and Casual / 
Soutien et occasionnel</t>
  </si>
  <si>
    <t>Research Library Expenditures, 2014-2015</t>
  </si>
  <si>
    <t>Dépenses pour les bibliothèques de recherche, 2014-2015</t>
  </si>
  <si>
    <t>Source: CARL / ABRC</t>
  </si>
  <si>
    <t>Updated March 21, 2017 / Actualisé le 21 mars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</si>
</sst>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1" formatCode="_-* #,##0.00_-;\-* #,##0.00_-;_-* &quot;-&quot;??_-;_-@_-"/>
    <numFmt numFmtId="172" formatCode="&quot;$&quot;#,##0"/>
    <numFmt numFmtId="173" formatCode="0.0%"/>
    <numFmt numFmtId="174" formatCode="[$$-1009]#,##0"/>
    <numFmt numFmtId="178" formatCode="_-* #,##0_-;\-* #,##0_-;_-* &quot;-&quot;??_-;_-@_-"/>
  </numFmts>
  <fonts count="56" x14ac:knownFonts="1">
    <font>
      <sz val="8"/>
      <name val="Arial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vertAlign val="superscript"/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87">
    <xf numFmtId="0" fontId="0" fillId="0" borderId="0"/>
    <xf numFmtId="0" fontId="9" fillId="2" borderId="0" applyNumberFormat="0" applyBorder="0" applyAlignment="0" applyProtection="0"/>
    <xf numFmtId="0" fontId="28" fillId="26" borderId="0" applyNumberFormat="0" applyBorder="0" applyAlignment="0" applyProtection="0"/>
    <xf numFmtId="0" fontId="9" fillId="3" borderId="0" applyNumberFormat="0" applyBorder="0" applyAlignment="0" applyProtection="0"/>
    <xf numFmtId="0" fontId="28" fillId="27" borderId="0" applyNumberFormat="0" applyBorder="0" applyAlignment="0" applyProtection="0"/>
    <xf numFmtId="0" fontId="9" fillId="4" borderId="0" applyNumberFormat="0" applyBorder="0" applyAlignment="0" applyProtection="0"/>
    <xf numFmtId="0" fontId="28" fillId="28" borderId="0" applyNumberFormat="0" applyBorder="0" applyAlignment="0" applyProtection="0"/>
    <xf numFmtId="0" fontId="9" fillId="5" borderId="0" applyNumberFormat="0" applyBorder="0" applyAlignment="0" applyProtection="0"/>
    <xf numFmtId="0" fontId="28" fillId="29" borderId="0" applyNumberFormat="0" applyBorder="0" applyAlignment="0" applyProtection="0"/>
    <xf numFmtId="0" fontId="9" fillId="6" borderId="0" applyNumberFormat="0" applyBorder="0" applyAlignment="0" applyProtection="0"/>
    <xf numFmtId="0" fontId="28" fillId="30" borderId="0" applyNumberFormat="0" applyBorder="0" applyAlignment="0" applyProtection="0"/>
    <xf numFmtId="0" fontId="9" fillId="7" borderId="0" applyNumberFormat="0" applyBorder="0" applyAlignment="0" applyProtection="0"/>
    <xf numFmtId="0" fontId="28" fillId="31" borderId="0" applyNumberFormat="0" applyBorder="0" applyAlignment="0" applyProtection="0"/>
    <xf numFmtId="0" fontId="9" fillId="8" borderId="0" applyNumberFormat="0" applyBorder="0" applyAlignment="0" applyProtection="0"/>
    <xf numFmtId="0" fontId="28" fillId="32" borderId="0" applyNumberFormat="0" applyBorder="0" applyAlignment="0" applyProtection="0"/>
    <xf numFmtId="0" fontId="9" fillId="9" borderId="0" applyNumberFormat="0" applyBorder="0" applyAlignment="0" applyProtection="0"/>
    <xf numFmtId="0" fontId="28" fillId="33" borderId="0" applyNumberFormat="0" applyBorder="0" applyAlignment="0" applyProtection="0"/>
    <xf numFmtId="0" fontId="9" fillId="10" borderId="0" applyNumberFormat="0" applyBorder="0" applyAlignment="0" applyProtection="0"/>
    <xf numFmtId="0" fontId="28" fillId="34" borderId="0" applyNumberFormat="0" applyBorder="0" applyAlignment="0" applyProtection="0"/>
    <xf numFmtId="0" fontId="9" fillId="5" borderId="0" applyNumberFormat="0" applyBorder="0" applyAlignment="0" applyProtection="0"/>
    <xf numFmtId="0" fontId="28" fillId="35" borderId="0" applyNumberFormat="0" applyBorder="0" applyAlignment="0" applyProtection="0"/>
    <xf numFmtId="0" fontId="9" fillId="8" borderId="0" applyNumberFormat="0" applyBorder="0" applyAlignment="0" applyProtection="0"/>
    <xf numFmtId="0" fontId="28" fillId="36" borderId="0" applyNumberFormat="0" applyBorder="0" applyAlignment="0" applyProtection="0"/>
    <xf numFmtId="0" fontId="9" fillId="11" borderId="0" applyNumberFormat="0" applyBorder="0" applyAlignment="0" applyProtection="0"/>
    <xf numFmtId="0" fontId="28" fillId="37" borderId="0" applyNumberFormat="0" applyBorder="0" applyAlignment="0" applyProtection="0"/>
    <xf numFmtId="0" fontId="10" fillId="12" borderId="0" applyNumberFormat="0" applyBorder="0" applyAlignment="0" applyProtection="0"/>
    <xf numFmtId="0" fontId="29" fillId="38" borderId="0" applyNumberFormat="0" applyBorder="0" applyAlignment="0" applyProtection="0"/>
    <xf numFmtId="0" fontId="10" fillId="9" borderId="0" applyNumberFormat="0" applyBorder="0" applyAlignment="0" applyProtection="0"/>
    <xf numFmtId="0" fontId="29" fillId="39" borderId="0" applyNumberFormat="0" applyBorder="0" applyAlignment="0" applyProtection="0"/>
    <xf numFmtId="0" fontId="10" fillId="10" borderId="0" applyNumberFormat="0" applyBorder="0" applyAlignment="0" applyProtection="0"/>
    <xf numFmtId="0" fontId="29" fillId="40" borderId="0" applyNumberFormat="0" applyBorder="0" applyAlignment="0" applyProtection="0"/>
    <xf numFmtId="0" fontId="10" fillId="13" borderId="0" applyNumberFormat="0" applyBorder="0" applyAlignment="0" applyProtection="0"/>
    <xf numFmtId="0" fontId="29" fillId="41" borderId="0" applyNumberFormat="0" applyBorder="0" applyAlignment="0" applyProtection="0"/>
    <xf numFmtId="0" fontId="10" fillId="14" borderId="0" applyNumberFormat="0" applyBorder="0" applyAlignment="0" applyProtection="0"/>
    <xf numFmtId="0" fontId="29" fillId="42" borderId="0" applyNumberFormat="0" applyBorder="0" applyAlignment="0" applyProtection="0"/>
    <xf numFmtId="0" fontId="10" fillId="15" borderId="0" applyNumberFormat="0" applyBorder="0" applyAlignment="0" applyProtection="0"/>
    <xf numFmtId="0" fontId="29" fillId="43" borderId="0" applyNumberFormat="0" applyBorder="0" applyAlignment="0" applyProtection="0"/>
    <xf numFmtId="0" fontId="10" fillId="16" borderId="0" applyNumberFormat="0" applyBorder="0" applyAlignment="0" applyProtection="0"/>
    <xf numFmtId="0" fontId="29" fillId="44" borderId="0" applyNumberFormat="0" applyBorder="0" applyAlignment="0" applyProtection="0"/>
    <xf numFmtId="0" fontId="10" fillId="17" borderId="0" applyNumberFormat="0" applyBorder="0" applyAlignment="0" applyProtection="0"/>
    <xf numFmtId="0" fontId="29" fillId="45" borderId="0" applyNumberFormat="0" applyBorder="0" applyAlignment="0" applyProtection="0"/>
    <xf numFmtId="0" fontId="10" fillId="18" borderId="0" applyNumberFormat="0" applyBorder="0" applyAlignment="0" applyProtection="0"/>
    <xf numFmtId="0" fontId="29" fillId="46" borderId="0" applyNumberFormat="0" applyBorder="0" applyAlignment="0" applyProtection="0"/>
    <xf numFmtId="0" fontId="10" fillId="13" borderId="0" applyNumberFormat="0" applyBorder="0" applyAlignment="0" applyProtection="0"/>
    <xf numFmtId="0" fontId="29" fillId="47" borderId="0" applyNumberFormat="0" applyBorder="0" applyAlignment="0" applyProtection="0"/>
    <xf numFmtId="0" fontId="10" fillId="14" borderId="0" applyNumberFormat="0" applyBorder="0" applyAlignment="0" applyProtection="0"/>
    <xf numFmtId="0" fontId="29" fillId="48" borderId="0" applyNumberFormat="0" applyBorder="0" applyAlignment="0" applyProtection="0"/>
    <xf numFmtId="0" fontId="10" fillId="19" borderId="0" applyNumberFormat="0" applyBorder="0" applyAlignment="0" applyProtection="0"/>
    <xf numFmtId="0" fontId="29" fillId="49" borderId="0" applyNumberFormat="0" applyBorder="0" applyAlignment="0" applyProtection="0"/>
    <xf numFmtId="0" fontId="11" fillId="3" borderId="0" applyNumberFormat="0" applyBorder="0" applyAlignment="0" applyProtection="0"/>
    <xf numFmtId="0" fontId="30" fillId="50" borderId="0" applyNumberFormat="0" applyBorder="0" applyAlignment="0" applyProtection="0"/>
    <xf numFmtId="0" fontId="12" fillId="20" borderId="1" applyNumberFormat="0" applyAlignment="0" applyProtection="0"/>
    <xf numFmtId="0" fontId="31" fillId="51" borderId="38" applyNumberFormat="0" applyAlignment="0" applyProtection="0"/>
    <xf numFmtId="0" fontId="13" fillId="21" borderId="2" applyNumberFormat="0" applyAlignment="0" applyProtection="0"/>
    <xf numFmtId="0" fontId="32" fillId="52" borderId="39" applyNumberFormat="0" applyAlignment="0" applyProtection="0"/>
    <xf numFmtId="171" fontId="1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34" fillId="53" borderId="0" applyNumberFormat="0" applyBorder="0" applyAlignment="0" applyProtection="0"/>
    <xf numFmtId="0" fontId="16" fillId="0" borderId="3" applyNumberFormat="0" applyFill="0" applyAlignment="0" applyProtection="0"/>
    <xf numFmtId="0" fontId="35" fillId="0" borderId="40" applyNumberFormat="0" applyFill="0" applyAlignment="0" applyProtection="0"/>
    <xf numFmtId="0" fontId="17" fillId="0" borderId="4" applyNumberFormat="0" applyFill="0" applyAlignment="0" applyProtection="0"/>
    <xf numFmtId="0" fontId="36" fillId="0" borderId="41" applyNumberFormat="0" applyFill="0" applyAlignment="0" applyProtection="0"/>
    <xf numFmtId="0" fontId="18" fillId="0" borderId="5" applyNumberFormat="0" applyFill="0" applyAlignment="0" applyProtection="0"/>
    <xf numFmtId="0" fontId="37" fillId="0" borderId="42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7" borderId="1" applyNumberFormat="0" applyAlignment="0" applyProtection="0"/>
    <xf numFmtId="0" fontId="38" fillId="54" borderId="38" applyNumberFormat="0" applyAlignment="0" applyProtection="0"/>
    <xf numFmtId="0" fontId="20" fillId="0" borderId="6" applyNumberFormat="0" applyFill="0" applyAlignment="0" applyProtection="0"/>
    <xf numFmtId="0" fontId="39" fillId="0" borderId="43" applyNumberFormat="0" applyFill="0" applyAlignment="0" applyProtection="0"/>
    <xf numFmtId="0" fontId="21" fillId="22" borderId="0" applyNumberFormat="0" applyBorder="0" applyAlignment="0" applyProtection="0"/>
    <xf numFmtId="0" fontId="40" fillId="55" borderId="0" applyNumberFormat="0" applyBorder="0" applyAlignment="0" applyProtection="0"/>
    <xf numFmtId="0" fontId="28" fillId="0" borderId="0"/>
    <xf numFmtId="0" fontId="9" fillId="23" borderId="7" applyNumberFormat="0" applyFont="0" applyAlignment="0" applyProtection="0"/>
    <xf numFmtId="0" fontId="28" fillId="56" borderId="44" applyNumberFormat="0" applyFont="0" applyAlignment="0" applyProtection="0"/>
    <xf numFmtId="0" fontId="22" fillId="20" borderId="8" applyNumberFormat="0" applyAlignment="0" applyProtection="0"/>
    <xf numFmtId="0" fontId="41" fillId="51" borderId="45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43" fillId="0" borderId="46" applyNumberFormat="0" applyFill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38">
    <xf numFmtId="0" fontId="0" fillId="0" borderId="0" xfId="0"/>
    <xf numFmtId="0" fontId="2" fillId="24" borderId="0" xfId="0" applyFont="1" applyFill="1"/>
    <xf numFmtId="0" fontId="2" fillId="0" borderId="0" xfId="0" applyFont="1"/>
    <xf numFmtId="0" fontId="2" fillId="0" borderId="10" xfId="0" applyFont="1" applyBorder="1"/>
    <xf numFmtId="0" fontId="2" fillId="0" borderId="0" xfId="0" applyFont="1" applyBorder="1"/>
    <xf numFmtId="0" fontId="2" fillId="24" borderId="0" xfId="0" applyFont="1" applyFill="1" applyBorder="1"/>
    <xf numFmtId="0" fontId="2" fillId="24" borderId="0" xfId="0" applyFont="1" applyFill="1" applyBorder="1" applyAlignment="1">
      <alignment horizontal="center"/>
    </xf>
    <xf numFmtId="3" fontId="3" fillId="24" borderId="11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172" fontId="2" fillId="24" borderId="13" xfId="0" applyNumberFormat="1" applyFont="1" applyFill="1" applyBorder="1" applyAlignment="1">
      <alignment horizontal="left"/>
    </xf>
    <xf numFmtId="172" fontId="2" fillId="24" borderId="14" xfId="0" applyNumberFormat="1" applyFont="1" applyFill="1" applyBorder="1" applyAlignment="1">
      <alignment horizontal="left"/>
    </xf>
    <xf numFmtId="0" fontId="2" fillId="24" borderId="15" xfId="0" applyFont="1" applyFill="1" applyBorder="1"/>
    <xf numFmtId="3" fontId="3" fillId="24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24" borderId="17" xfId="0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 wrapText="1"/>
    </xf>
    <xf numFmtId="172" fontId="2" fillId="24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right"/>
    </xf>
    <xf numFmtId="172" fontId="2" fillId="24" borderId="15" xfId="0" applyNumberFormat="1" applyFont="1" applyFill="1" applyBorder="1"/>
    <xf numFmtId="173" fontId="2" fillId="0" borderId="0" xfId="0" applyNumberFormat="1" applyFont="1"/>
    <xf numFmtId="3" fontId="5" fillId="24" borderId="11" xfId="0" applyNumberFormat="1" applyFont="1" applyFill="1" applyBorder="1" applyAlignment="1">
      <alignment horizontal="center" vertical="center" wrapText="1"/>
    </xf>
    <xf numFmtId="172" fontId="2" fillId="0" borderId="18" xfId="0" applyNumberFormat="1" applyFont="1" applyFill="1" applyBorder="1" applyAlignment="1">
      <alignment horizontal="right"/>
    </xf>
    <xf numFmtId="172" fontId="2" fillId="0" borderId="19" xfId="0" applyNumberFormat="1" applyFont="1" applyFill="1" applyBorder="1" applyAlignment="1">
      <alignment horizontal="right"/>
    </xf>
    <xf numFmtId="172" fontId="2" fillId="0" borderId="19" xfId="0" applyNumberFormat="1" applyFont="1" applyFill="1" applyBorder="1" applyAlignment="1">
      <alignment horizontal="center"/>
    </xf>
    <xf numFmtId="172" fontId="2" fillId="0" borderId="2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/>
    <xf numFmtId="0" fontId="2" fillId="0" borderId="21" xfId="0" applyFont="1" applyFill="1" applyBorder="1"/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72" fontId="2" fillId="0" borderId="18" xfId="0" applyNumberFormat="1" applyFont="1" applyFill="1" applyBorder="1" applyAlignment="1">
      <alignment horizontal="center"/>
    </xf>
    <xf numFmtId="172" fontId="2" fillId="0" borderId="13" xfId="0" applyNumberFormat="1" applyFont="1" applyFill="1" applyBorder="1" applyAlignment="1">
      <alignment horizontal="left"/>
    </xf>
    <xf numFmtId="172" fontId="2" fillId="0" borderId="11" xfId="0" applyNumberFormat="1" applyFont="1" applyFill="1" applyBorder="1" applyAlignment="1">
      <alignment horizontal="right"/>
    </xf>
    <xf numFmtId="0" fontId="2" fillId="0" borderId="23" xfId="0" applyFont="1" applyFill="1" applyBorder="1"/>
    <xf numFmtId="172" fontId="2" fillId="0" borderId="14" xfId="0" applyNumberFormat="1" applyFont="1" applyFill="1" applyBorder="1" applyAlignment="1">
      <alignment horizontal="left"/>
    </xf>
    <xf numFmtId="172" fontId="2" fillId="0" borderId="20" xfId="0" applyNumberFormat="1" applyFont="1" applyFill="1" applyBorder="1" applyAlignment="1">
      <alignment horizontal="center"/>
    </xf>
    <xf numFmtId="172" fontId="2" fillId="0" borderId="25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vertical="center" wrapText="1"/>
    </xf>
    <xf numFmtId="172" fontId="2" fillId="0" borderId="19" xfId="0" applyNumberFormat="1" applyFont="1" applyFill="1" applyBorder="1" applyAlignment="1">
      <alignment horizontal="center" vertical="center"/>
    </xf>
    <xf numFmtId="172" fontId="2" fillId="0" borderId="19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0" fontId="2" fillId="0" borderId="26" xfId="0" applyFont="1" applyFill="1" applyBorder="1"/>
    <xf numFmtId="172" fontId="2" fillId="0" borderId="22" xfId="0" applyNumberFormat="1" applyFont="1" applyFill="1" applyBorder="1" applyAlignment="1">
      <alignment horizontal="left"/>
    </xf>
    <xf numFmtId="172" fontId="2" fillId="0" borderId="22" xfId="0" applyNumberFormat="1" applyFont="1" applyFill="1" applyBorder="1" applyAlignment="1">
      <alignment horizontal="center"/>
    </xf>
    <xf numFmtId="172" fontId="2" fillId="0" borderId="22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27" xfId="0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0" fontId="2" fillId="0" borderId="28" xfId="0" applyFont="1" applyFill="1" applyBorder="1"/>
    <xf numFmtId="3" fontId="2" fillId="0" borderId="0" xfId="0" applyNumberFormat="1" applyFont="1" applyFill="1"/>
    <xf numFmtId="0" fontId="3" fillId="25" borderId="0" xfId="0" applyFont="1" applyFill="1" applyBorder="1"/>
    <xf numFmtId="172" fontId="2" fillId="25" borderId="0" xfId="0" applyNumberFormat="1" applyFont="1" applyFill="1" applyBorder="1" applyAlignment="1">
      <alignment horizontal="right"/>
    </xf>
    <xf numFmtId="172" fontId="3" fillId="25" borderId="15" xfId="0" applyNumberFormat="1" applyFont="1" applyFill="1" applyBorder="1"/>
    <xf numFmtId="0" fontId="6" fillId="0" borderId="29" xfId="0" applyFont="1" applyFill="1" applyBorder="1" applyAlignment="1">
      <alignment horizontal="center" vertical="center" wrapText="1"/>
    </xf>
    <xf numFmtId="174" fontId="1" fillId="0" borderId="29" xfId="0" applyNumberFormat="1" applyFont="1" applyBorder="1" applyAlignment="1">
      <alignment wrapText="1"/>
    </xf>
    <xf numFmtId="0" fontId="1" fillId="0" borderId="29" xfId="0" quotePrefix="1" applyFont="1" applyBorder="1" applyAlignment="1">
      <alignment horizontal="right" wrapText="1"/>
    </xf>
    <xf numFmtId="172" fontId="1" fillId="25" borderId="0" xfId="0" applyNumberFormat="1" applyFont="1" applyFill="1" applyBorder="1" applyAlignment="1">
      <alignment horizontal="right"/>
    </xf>
    <xf numFmtId="174" fontId="1" fillId="0" borderId="30" xfId="0" applyNumberFormat="1" applyFont="1" applyBorder="1" applyAlignment="1">
      <alignment wrapText="1"/>
    </xf>
    <xf numFmtId="0" fontId="1" fillId="0" borderId="30" xfId="0" quotePrefix="1" applyFont="1" applyBorder="1" applyAlignment="1">
      <alignment horizontal="right" wrapText="1"/>
    </xf>
    <xf numFmtId="0" fontId="1" fillId="25" borderId="31" xfId="0" quotePrefix="1" applyFont="1" applyFill="1" applyBorder="1" applyAlignment="1">
      <alignment horizontal="right" wrapText="1"/>
    </xf>
    <xf numFmtId="0" fontId="1" fillId="25" borderId="0" xfId="0" quotePrefix="1" applyFont="1" applyFill="1" applyBorder="1" applyAlignment="1">
      <alignment horizontal="right" wrapText="1"/>
    </xf>
    <xf numFmtId="174" fontId="1" fillId="0" borderId="32" xfId="0" applyNumberFormat="1" applyFont="1" applyBorder="1" applyAlignment="1">
      <alignment wrapText="1"/>
    </xf>
    <xf numFmtId="0" fontId="1" fillId="0" borderId="32" xfId="0" quotePrefix="1" applyFont="1" applyBorder="1" applyAlignment="1">
      <alignment horizontal="right" wrapText="1"/>
    </xf>
    <xf numFmtId="174" fontId="2" fillId="25" borderId="0" xfId="0" applyNumberFormat="1" applyFont="1" applyFill="1" applyBorder="1" applyAlignment="1">
      <alignment wrapText="1"/>
    </xf>
    <xf numFmtId="0" fontId="2" fillId="25" borderId="0" xfId="0" quotePrefix="1" applyFont="1" applyFill="1" applyBorder="1" applyAlignment="1">
      <alignment horizontal="right" wrapText="1"/>
    </xf>
    <xf numFmtId="0" fontId="2" fillId="25" borderId="31" xfId="0" quotePrefix="1" applyFont="1" applyFill="1" applyBorder="1" applyAlignment="1">
      <alignment horizontal="right" wrapText="1"/>
    </xf>
    <xf numFmtId="174" fontId="6" fillId="25" borderId="33" xfId="0" applyNumberFormat="1" applyFont="1" applyFill="1" applyBorder="1" applyAlignment="1">
      <alignment wrapText="1"/>
    </xf>
    <xf numFmtId="174" fontId="2" fillId="25" borderId="31" xfId="0" applyNumberFormat="1" applyFont="1" applyFill="1" applyBorder="1" applyAlignment="1">
      <alignment wrapText="1"/>
    </xf>
    <xf numFmtId="172" fontId="3" fillId="25" borderId="0" xfId="0" applyNumberFormat="1" applyFont="1" applyFill="1"/>
    <xf numFmtId="173" fontId="2" fillId="25" borderId="0" xfId="80" applyNumberFormat="1" applyFont="1" applyFill="1"/>
    <xf numFmtId="173" fontId="3" fillId="25" borderId="34" xfId="80" applyNumberFormat="1" applyFont="1" applyFill="1" applyBorder="1"/>
    <xf numFmtId="0" fontId="7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74" fontId="0" fillId="0" borderId="0" xfId="0" applyNumberFormat="1"/>
    <xf numFmtId="178" fontId="45" fillId="0" borderId="0" xfId="56" applyNumberFormat="1" applyFont="1" applyFill="1" applyBorder="1" applyAlignment="1">
      <alignment horizontal="right" wrapText="1"/>
    </xf>
    <xf numFmtId="0" fontId="46" fillId="0" borderId="0" xfId="0" applyFont="1" applyFill="1" applyBorder="1"/>
    <xf numFmtId="173" fontId="46" fillId="0" borderId="0" xfId="80" applyNumberFormat="1" applyFont="1" applyFill="1" applyBorder="1" applyAlignment="1">
      <alignment horizontal="right"/>
    </xf>
    <xf numFmtId="174" fontId="45" fillId="0" borderId="0" xfId="56" applyNumberFormat="1" applyFont="1" applyFill="1" applyBorder="1" applyAlignment="1">
      <alignment horizontal="right" wrapText="1"/>
    </xf>
    <xf numFmtId="0" fontId="47" fillId="0" borderId="0" xfId="0" applyFont="1" applyFill="1" applyBorder="1" applyAlignment="1">
      <alignment wrapText="1"/>
    </xf>
    <xf numFmtId="173" fontId="46" fillId="0" borderId="0" xfId="0" applyNumberFormat="1" applyFont="1" applyFill="1" applyBorder="1"/>
    <xf numFmtId="178" fontId="46" fillId="0" borderId="0" xfId="55" applyNumberFormat="1" applyFont="1" applyFill="1" applyBorder="1"/>
    <xf numFmtId="0" fontId="45" fillId="0" borderId="0" xfId="0" applyFont="1" applyFill="1" applyBorder="1"/>
    <xf numFmtId="0" fontId="46" fillId="0" borderId="0" xfId="0" applyFont="1" applyFill="1" applyBorder="1" applyAlignment="1">
      <alignment horizontal="left"/>
    </xf>
    <xf numFmtId="172" fontId="46" fillId="0" borderId="0" xfId="0" applyNumberFormat="1" applyFont="1" applyFill="1" applyBorder="1"/>
    <xf numFmtId="172" fontId="46" fillId="0" borderId="0" xfId="0" applyNumberFormat="1" applyFont="1" applyFill="1" applyBorder="1" applyAlignment="1">
      <alignment horizontal="right"/>
    </xf>
    <xf numFmtId="178" fontId="46" fillId="0" borderId="0" xfId="0" applyNumberFormat="1" applyFont="1" applyFill="1" applyBorder="1"/>
    <xf numFmtId="173" fontId="46" fillId="0" borderId="0" xfId="80" applyNumberFormat="1" applyFont="1" applyFill="1" applyBorder="1"/>
    <xf numFmtId="0" fontId="48" fillId="0" borderId="0" xfId="0" applyFont="1" applyFill="1" applyBorder="1"/>
    <xf numFmtId="0" fontId="49" fillId="0" borderId="0" xfId="0" applyFont="1" applyFill="1" applyBorder="1"/>
    <xf numFmtId="0" fontId="50" fillId="0" borderId="0" xfId="0" applyFont="1" applyFill="1" applyBorder="1"/>
    <xf numFmtId="0" fontId="51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51" fillId="0" borderId="35" xfId="0" applyFont="1" applyFill="1" applyBorder="1" applyAlignment="1">
      <alignment horizontal="left"/>
    </xf>
    <xf numFmtId="0" fontId="51" fillId="0" borderId="36" xfId="0" applyFont="1" applyFill="1" applyBorder="1" applyAlignment="1">
      <alignment horizontal="center" vertical="center" wrapText="1"/>
    </xf>
    <xf numFmtId="0" fontId="51" fillId="57" borderId="37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3" fontId="51" fillId="0" borderId="36" xfId="0" applyNumberFormat="1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horizontal="right" wrapText="1"/>
    </xf>
    <xf numFmtId="3" fontId="51" fillId="0" borderId="0" xfId="0" applyNumberFormat="1" applyFont="1" applyFill="1" applyBorder="1" applyAlignment="1">
      <alignment horizontal="center" wrapText="1"/>
    </xf>
    <xf numFmtId="0" fontId="54" fillId="0" borderId="0" xfId="0" applyFont="1"/>
    <xf numFmtId="0" fontId="51" fillId="0" borderId="37" xfId="0" applyFont="1" applyFill="1" applyBorder="1" applyAlignment="1">
      <alignment horizontal="center" vertical="center" wrapText="1"/>
    </xf>
    <xf numFmtId="0" fontId="47" fillId="0" borderId="37" xfId="0" applyFont="1" applyFill="1" applyBorder="1" applyAlignment="1">
      <alignment wrapText="1"/>
    </xf>
    <xf numFmtId="174" fontId="45" fillId="0" borderId="37" xfId="56" applyNumberFormat="1" applyFont="1" applyFill="1" applyBorder="1" applyAlignment="1">
      <alignment horizontal="right" wrapText="1"/>
    </xf>
    <xf numFmtId="0" fontId="51" fillId="0" borderId="0" xfId="0" applyFont="1" applyFill="1" applyBorder="1" applyAlignment="1">
      <alignment horizontal="center" wrapText="1"/>
    </xf>
    <xf numFmtId="0" fontId="51" fillId="0" borderId="37" xfId="0" applyFont="1" applyFill="1" applyBorder="1" applyAlignment="1">
      <alignment horizontal="center" vertical="center" wrapText="1"/>
    </xf>
    <xf numFmtId="0" fontId="3" fillId="24" borderId="37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wrapText="1"/>
    </xf>
    <xf numFmtId="0" fontId="51" fillId="0" borderId="37" xfId="0" applyFont="1" applyFill="1" applyBorder="1" applyAlignment="1">
      <alignment horizontal="center" vertical="center" wrapText="1"/>
    </xf>
    <xf numFmtId="174" fontId="45" fillId="57" borderId="0" xfId="56" applyNumberFormat="1" applyFont="1" applyFill="1" applyBorder="1" applyAlignment="1">
      <alignment horizontal="right" wrapText="1"/>
    </xf>
    <xf numFmtId="173" fontId="45" fillId="0" borderId="0" xfId="80" applyNumberFormat="1" applyFont="1" applyFill="1" applyBorder="1" applyAlignment="1">
      <alignment horizontal="right" wrapText="1"/>
    </xf>
    <xf numFmtId="174" fontId="45" fillId="57" borderId="37" xfId="56" applyNumberFormat="1" applyFont="1" applyFill="1" applyBorder="1" applyAlignment="1">
      <alignment horizontal="right" wrapText="1"/>
    </xf>
    <xf numFmtId="173" fontId="45" fillId="0" borderId="37" xfId="80" applyNumberFormat="1" applyFont="1" applyFill="1" applyBorder="1" applyAlignment="1">
      <alignment horizontal="right" wrapText="1"/>
    </xf>
    <xf numFmtId="0" fontId="47" fillId="0" borderId="47" xfId="0" applyFont="1" applyFill="1" applyBorder="1" applyAlignment="1">
      <alignment wrapText="1"/>
    </xf>
    <xf numFmtId="174" fontId="45" fillId="57" borderId="47" xfId="56" applyNumberFormat="1" applyFont="1" applyFill="1" applyBorder="1" applyAlignment="1">
      <alignment horizontal="right" wrapText="1"/>
    </xf>
    <xf numFmtId="174" fontId="45" fillId="0" borderId="47" xfId="56" applyNumberFormat="1" applyFont="1" applyFill="1" applyBorder="1" applyAlignment="1">
      <alignment horizontal="right" wrapText="1"/>
    </xf>
    <xf numFmtId="173" fontId="45" fillId="0" borderId="47" xfId="80" applyNumberFormat="1" applyFont="1" applyFill="1" applyBorder="1" applyAlignment="1">
      <alignment horizontal="right" wrapText="1"/>
    </xf>
    <xf numFmtId="172" fontId="51" fillId="57" borderId="35" xfId="0" applyNumberFormat="1" applyFont="1" applyFill="1" applyBorder="1"/>
    <xf numFmtId="172" fontId="51" fillId="0" borderId="35" xfId="0" applyNumberFormat="1" applyFont="1" applyFill="1" applyBorder="1"/>
    <xf numFmtId="172" fontId="51" fillId="0" borderId="35" xfId="0" applyNumberFormat="1" applyFont="1" applyFill="1" applyBorder="1" applyAlignment="1">
      <alignment horizontal="right"/>
    </xf>
    <xf numFmtId="178" fontId="51" fillId="57" borderId="35" xfId="0" applyNumberFormat="1" applyFont="1" applyFill="1" applyBorder="1"/>
    <xf numFmtId="173" fontId="55" fillId="0" borderId="35" xfId="80" applyNumberFormat="1" applyFont="1" applyFill="1" applyBorder="1" applyAlignment="1">
      <alignment horizontal="right" wrapText="1"/>
    </xf>
    <xf numFmtId="178" fontId="51" fillId="0" borderId="35" xfId="0" applyNumberFormat="1" applyFont="1" applyFill="1" applyBorder="1"/>
  </cellXfs>
  <cellStyles count="87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" xfId="55" builtinId="3"/>
    <cellStyle name="Comma 2" xfId="56"/>
    <cellStyle name="Explanatory Text" xfId="57" builtinId="53" customBuiltin="1"/>
    <cellStyle name="Explanatory Text 2" xfId="58"/>
    <cellStyle name="Good" xfId="59" builtinId="26" customBuiltin="1"/>
    <cellStyle name="Good 2" xfId="60"/>
    <cellStyle name="Heading 1" xfId="61" builtinId="16" customBuiltin="1"/>
    <cellStyle name="Heading 1 2" xfId="62"/>
    <cellStyle name="Heading 2" xfId="63" builtinId="17" customBuiltin="1"/>
    <cellStyle name="Heading 2 2" xfId="64"/>
    <cellStyle name="Heading 3" xfId="65" builtinId="18" customBuiltin="1"/>
    <cellStyle name="Heading 3 2" xfId="66"/>
    <cellStyle name="Heading 4" xfId="67" builtinId="19" customBuiltin="1"/>
    <cellStyle name="Heading 4 2" xfId="68"/>
    <cellStyle name="Input" xfId="69" builtinId="20" customBuiltin="1"/>
    <cellStyle name="Input 2" xfId="70"/>
    <cellStyle name="Linked Cell" xfId="71" builtinId="24" customBuiltin="1"/>
    <cellStyle name="Linked Cell 2" xfId="72"/>
    <cellStyle name="Neutral" xfId="73" builtinId="28" customBuiltin="1"/>
    <cellStyle name="Neutral 2" xfId="74"/>
    <cellStyle name="Normal" xfId="0" builtinId="0"/>
    <cellStyle name="Normal 2" xfId="75"/>
    <cellStyle name="Note" xfId="76" builtinId="10" customBuiltin="1"/>
    <cellStyle name="Note 2" xfId="77"/>
    <cellStyle name="Output" xfId="78" builtinId="21" customBuiltin="1"/>
    <cellStyle name="Output 2" xfId="79"/>
    <cellStyle name="Percent" xfId="80" builtinId="5"/>
    <cellStyle name="Title" xfId="81" builtinId="15" customBuiltin="1"/>
    <cellStyle name="Title 2" xfId="82"/>
    <cellStyle name="Total" xfId="83" builtinId="25" customBuiltin="1"/>
    <cellStyle name="Total 2" xfId="84"/>
    <cellStyle name="Warning Text" xfId="85" builtinId="11" customBuiltin="1"/>
    <cellStyle name="Warning Text 2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0</xdr:col>
      <xdr:colOff>466725</xdr:colOff>
      <xdr:row>1</xdr:row>
      <xdr:rowOff>371475</xdr:rowOff>
    </xdr:to>
    <xdr:pic>
      <xdr:nvPicPr>
        <xdr:cNvPr id="106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19075"/>
          <a:ext cx="4286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295275</xdr:colOff>
      <xdr:row>1</xdr:row>
      <xdr:rowOff>180975</xdr:rowOff>
    </xdr:from>
    <xdr:to>
      <xdr:col>13</xdr:col>
      <xdr:colOff>933450</xdr:colOff>
      <xdr:row>2</xdr:row>
      <xdr:rowOff>266700</xdr:rowOff>
    </xdr:to>
    <xdr:pic>
      <xdr:nvPicPr>
        <xdr:cNvPr id="1063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8625" y="371475"/>
          <a:ext cx="25622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pane xSplit="1" ySplit="1" topLeftCell="B2" activePane="bottomRight" state="frozen"/>
      <selection pane="topRight" activeCell="C1" sqref="C1"/>
      <selection pane="bottomLeft" activeCell="A9" sqref="A9"/>
      <selection pane="bottomRight" activeCell="E6" sqref="E6:J6"/>
    </sheetView>
  </sheetViews>
  <sheetFormatPr defaultColWidth="9.1640625" defaultRowHeight="11.25" x14ac:dyDescent="0.2"/>
  <cols>
    <col min="1" max="1" width="20" style="2" customWidth="1"/>
    <col min="2" max="2" width="9.1640625" style="2" customWidth="1"/>
    <col min="3" max="3" width="14.6640625" style="2" customWidth="1"/>
    <col min="4" max="4" width="13.83203125" style="2" bestFit="1" customWidth="1"/>
    <col min="5" max="5" width="16" style="2" customWidth="1"/>
    <col min="6" max="6" width="19.1640625" style="2" customWidth="1"/>
    <col min="7" max="7" width="14.5" style="2" customWidth="1"/>
    <col min="8" max="8" width="17.1640625" style="2" customWidth="1"/>
    <col min="9" max="9" width="15.5" style="2" customWidth="1"/>
    <col min="10" max="10" width="18.83203125" style="2" customWidth="1"/>
    <col min="11" max="11" width="15" style="2" customWidth="1"/>
    <col min="12" max="12" width="3.83203125" style="2" customWidth="1"/>
    <col min="13" max="16384" width="9.1640625" style="2"/>
  </cols>
  <sheetData>
    <row r="1" spans="1:12" x14ac:dyDescent="0.2">
      <c r="A1" s="27" t="s">
        <v>0</v>
      </c>
      <c r="B1" s="28"/>
      <c r="C1" s="28"/>
      <c r="D1" s="28"/>
      <c r="E1" s="27"/>
      <c r="F1" s="27"/>
      <c r="G1" s="27"/>
      <c r="H1" s="27"/>
      <c r="I1" s="27"/>
      <c r="J1" s="27"/>
      <c r="K1" s="29"/>
      <c r="L1" s="30"/>
    </row>
    <row r="2" spans="1:12" x14ac:dyDescent="0.2">
      <c r="A2" s="27" t="s">
        <v>1</v>
      </c>
      <c r="B2" s="28"/>
      <c r="C2" s="28"/>
      <c r="D2" s="28"/>
      <c r="E2" s="27"/>
      <c r="F2" s="27"/>
      <c r="G2" s="27"/>
      <c r="H2" s="27"/>
      <c r="I2" s="27"/>
      <c r="J2" s="27"/>
      <c r="K2" s="29"/>
      <c r="L2" s="30"/>
    </row>
    <row r="3" spans="1:12" x14ac:dyDescent="0.2">
      <c r="A3" s="27" t="s">
        <v>76</v>
      </c>
      <c r="B3" s="28"/>
      <c r="C3" s="28"/>
      <c r="D3" s="28"/>
      <c r="E3" s="27"/>
      <c r="F3" s="61" t="s">
        <v>97</v>
      </c>
      <c r="G3" s="27"/>
      <c r="H3" s="27"/>
      <c r="I3" s="27"/>
      <c r="J3" s="27"/>
      <c r="K3" s="29"/>
      <c r="L3" s="30"/>
    </row>
    <row r="4" spans="1:12" x14ac:dyDescent="0.2">
      <c r="A4" s="27" t="s">
        <v>77</v>
      </c>
      <c r="B4" s="28"/>
      <c r="C4" s="28"/>
      <c r="D4" s="28"/>
      <c r="E4" s="27"/>
      <c r="F4" s="27"/>
      <c r="G4" s="27"/>
      <c r="H4" s="27"/>
      <c r="I4" s="27"/>
      <c r="J4" s="27"/>
      <c r="K4" s="29"/>
      <c r="L4" s="30"/>
    </row>
    <row r="5" spans="1:12" x14ac:dyDescent="0.2">
      <c r="A5" s="27"/>
      <c r="B5" s="28"/>
      <c r="C5" s="28"/>
      <c r="D5" s="28"/>
      <c r="E5" s="27"/>
      <c r="F5" s="27"/>
      <c r="G5" s="27"/>
      <c r="H5" s="27"/>
      <c r="I5" s="27"/>
      <c r="J5" s="27"/>
      <c r="K5" s="29"/>
      <c r="L5" s="30"/>
    </row>
    <row r="6" spans="1:12" ht="23.25" thickBot="1" x14ac:dyDescent="0.25">
      <c r="A6" s="28"/>
      <c r="B6" s="31" t="s">
        <v>2</v>
      </c>
      <c r="C6" s="32" t="s">
        <v>92</v>
      </c>
      <c r="D6" s="33" t="s">
        <v>93</v>
      </c>
      <c r="E6" s="34" t="s">
        <v>3</v>
      </c>
      <c r="F6" s="35" t="s">
        <v>4</v>
      </c>
      <c r="G6" s="36" t="s">
        <v>5</v>
      </c>
      <c r="H6" s="35" t="s">
        <v>6</v>
      </c>
      <c r="I6" s="34" t="s">
        <v>7</v>
      </c>
      <c r="J6" s="36" t="s">
        <v>8</v>
      </c>
      <c r="K6" s="37" t="s">
        <v>9</v>
      </c>
      <c r="L6" s="38"/>
    </row>
    <row r="7" spans="1:12" ht="12.75" thickTop="1" thickBot="1" x14ac:dyDescent="0.25">
      <c r="A7" s="39" t="s">
        <v>10</v>
      </c>
      <c r="B7" s="40" t="s">
        <v>78</v>
      </c>
      <c r="C7" s="41"/>
      <c r="D7" s="40"/>
      <c r="E7" s="41" t="s">
        <v>79</v>
      </c>
      <c r="F7" s="41" t="s">
        <v>80</v>
      </c>
      <c r="G7" s="41" t="s">
        <v>81</v>
      </c>
      <c r="H7" s="41" t="s">
        <v>82</v>
      </c>
      <c r="I7" s="41" t="s">
        <v>83</v>
      </c>
      <c r="J7" s="41" t="s">
        <v>84</v>
      </c>
      <c r="K7" s="41" t="s">
        <v>85</v>
      </c>
      <c r="L7" s="38"/>
    </row>
    <row r="8" spans="1:12" ht="12" thickTop="1" x14ac:dyDescent="0.2">
      <c r="A8" s="42" t="s">
        <v>11</v>
      </c>
      <c r="B8" s="41" t="s">
        <v>12</v>
      </c>
      <c r="C8" s="43">
        <v>3320547</v>
      </c>
      <c r="D8" s="41">
        <v>9494419</v>
      </c>
      <c r="E8" s="23">
        <v>7450264</v>
      </c>
      <c r="F8" s="23">
        <v>7393764</v>
      </c>
      <c r="G8" s="23">
        <v>1373521</v>
      </c>
      <c r="H8" s="23">
        <v>16217549</v>
      </c>
      <c r="I8" s="23">
        <v>2602113</v>
      </c>
      <c r="J8" s="23">
        <v>3646905</v>
      </c>
      <c r="K8" s="23">
        <v>22466567</v>
      </c>
      <c r="L8" s="44"/>
    </row>
    <row r="9" spans="1:12" x14ac:dyDescent="0.2">
      <c r="A9" s="45" t="s">
        <v>13</v>
      </c>
      <c r="B9" s="25" t="s">
        <v>12</v>
      </c>
      <c r="C9" s="24">
        <v>2201759</v>
      </c>
      <c r="D9" s="25">
        <v>4829644</v>
      </c>
      <c r="E9" s="24">
        <v>2514700</v>
      </c>
      <c r="F9" s="24">
        <v>2962659</v>
      </c>
      <c r="G9" s="24">
        <v>596451</v>
      </c>
      <c r="H9" s="24">
        <v>6073810</v>
      </c>
      <c r="I9" s="24">
        <v>1296875</v>
      </c>
      <c r="J9" s="24">
        <v>1231058</v>
      </c>
      <c r="K9" s="24">
        <v>8601743</v>
      </c>
      <c r="L9" s="44"/>
    </row>
    <row r="10" spans="1:12" ht="12" thickBot="1" x14ac:dyDescent="0.25">
      <c r="A10" s="45" t="s">
        <v>14</v>
      </c>
      <c r="B10" s="46" t="s">
        <v>12</v>
      </c>
      <c r="C10" s="26">
        <v>1085527</v>
      </c>
      <c r="D10" s="25">
        <v>3608721</v>
      </c>
      <c r="E10" s="24">
        <v>2240869</v>
      </c>
      <c r="F10" s="24">
        <v>3665041</v>
      </c>
      <c r="G10" s="25" t="s">
        <v>15</v>
      </c>
      <c r="H10" s="24">
        <v>5905910</v>
      </c>
      <c r="I10" s="24">
        <v>886128</v>
      </c>
      <c r="J10" s="24">
        <v>948568</v>
      </c>
      <c r="K10" s="24">
        <v>7740606</v>
      </c>
      <c r="L10" s="44"/>
    </row>
    <row r="11" spans="1:12" ht="12" thickTop="1" x14ac:dyDescent="0.2">
      <c r="A11" s="42" t="s">
        <v>16</v>
      </c>
      <c r="B11" s="41" t="s">
        <v>12</v>
      </c>
      <c r="C11" s="24">
        <v>5824067</v>
      </c>
      <c r="D11" s="41">
        <v>9367898</v>
      </c>
      <c r="E11" s="23">
        <v>5198444</v>
      </c>
      <c r="F11" s="23">
        <v>8507283</v>
      </c>
      <c r="G11" s="23">
        <v>818702</v>
      </c>
      <c r="H11" s="23">
        <v>14524429</v>
      </c>
      <c r="I11" s="23">
        <v>2925484</v>
      </c>
      <c r="J11" s="23">
        <v>1847977</v>
      </c>
      <c r="K11" s="24">
        <v>17449913</v>
      </c>
      <c r="L11" s="44"/>
    </row>
    <row r="12" spans="1:12" x14ac:dyDescent="0.2">
      <c r="A12" s="45" t="s">
        <v>17</v>
      </c>
      <c r="B12" s="25" t="s">
        <v>12</v>
      </c>
      <c r="C12" s="24">
        <v>2530927</v>
      </c>
      <c r="D12" s="25">
        <v>7336219</v>
      </c>
      <c r="E12" s="24">
        <v>3304642</v>
      </c>
      <c r="F12" s="24">
        <v>6189084</v>
      </c>
      <c r="G12" s="24">
        <v>452992</v>
      </c>
      <c r="H12" s="24">
        <v>9946718</v>
      </c>
      <c r="I12" s="24">
        <v>1727274</v>
      </c>
      <c r="J12" s="24">
        <v>1235244</v>
      </c>
      <c r="K12" s="24">
        <v>12909236</v>
      </c>
      <c r="L12" s="44"/>
    </row>
    <row r="13" spans="1:12" x14ac:dyDescent="0.2">
      <c r="A13" s="45" t="s">
        <v>18</v>
      </c>
      <c r="B13" s="25" t="s">
        <v>19</v>
      </c>
      <c r="C13" s="24">
        <v>2457210</v>
      </c>
      <c r="D13" s="25">
        <v>6578788</v>
      </c>
      <c r="E13" s="24">
        <v>4239196</v>
      </c>
      <c r="F13" s="24">
        <v>5084724</v>
      </c>
      <c r="G13" s="24">
        <v>684906</v>
      </c>
      <c r="H13" s="24">
        <v>10008826</v>
      </c>
      <c r="I13" s="24">
        <v>1380742</v>
      </c>
      <c r="J13" s="24">
        <v>1503649</v>
      </c>
      <c r="K13" s="24">
        <v>12893217</v>
      </c>
      <c r="L13" s="44"/>
    </row>
    <row r="14" spans="1:12" x14ac:dyDescent="0.2">
      <c r="A14" s="45" t="s">
        <v>20</v>
      </c>
      <c r="B14" s="25" t="s">
        <v>12</v>
      </c>
      <c r="C14" s="24">
        <v>560818</v>
      </c>
      <c r="D14" s="25">
        <v>1656208</v>
      </c>
      <c r="E14" s="24">
        <v>1448644</v>
      </c>
      <c r="F14" s="24">
        <v>1361011</v>
      </c>
      <c r="G14" s="24">
        <v>89260</v>
      </c>
      <c r="H14" s="24">
        <v>2898915</v>
      </c>
      <c r="I14" s="25" t="s">
        <v>15</v>
      </c>
      <c r="J14" s="24">
        <v>876372</v>
      </c>
      <c r="K14" s="24">
        <v>3775287</v>
      </c>
      <c r="L14" s="44"/>
    </row>
    <row r="15" spans="1:12" ht="12" thickBot="1" x14ac:dyDescent="0.25">
      <c r="A15" s="45" t="s">
        <v>21</v>
      </c>
      <c r="B15" s="46" t="s">
        <v>12</v>
      </c>
      <c r="C15" s="24">
        <v>1662160</v>
      </c>
      <c r="D15" s="25">
        <v>5765782</v>
      </c>
      <c r="E15" s="24">
        <v>3132823</v>
      </c>
      <c r="F15" s="24">
        <v>3026903</v>
      </c>
      <c r="G15" s="24">
        <v>302107</v>
      </c>
      <c r="H15" s="26">
        <v>6461833</v>
      </c>
      <c r="I15" s="26">
        <v>1000592</v>
      </c>
      <c r="J15" s="24">
        <v>791446</v>
      </c>
      <c r="K15" s="24">
        <v>8253871</v>
      </c>
      <c r="L15" s="44"/>
    </row>
    <row r="16" spans="1:12" ht="12" thickTop="1" x14ac:dyDescent="0.2">
      <c r="A16" s="42" t="s">
        <v>22</v>
      </c>
      <c r="B16" s="41" t="s">
        <v>12</v>
      </c>
      <c r="C16" s="24">
        <v>852511</v>
      </c>
      <c r="D16" s="41">
        <v>2824570</v>
      </c>
      <c r="E16" s="23">
        <v>1894703</v>
      </c>
      <c r="F16" s="23">
        <v>3894516</v>
      </c>
      <c r="G16" s="23">
        <v>416400</v>
      </c>
      <c r="H16" s="23">
        <v>6205619</v>
      </c>
      <c r="I16" s="23">
        <v>1098958</v>
      </c>
      <c r="J16" s="23">
        <v>753063</v>
      </c>
      <c r="K16" s="24">
        <v>8057640</v>
      </c>
      <c r="L16" s="44"/>
    </row>
    <row r="17" spans="1:12" x14ac:dyDescent="0.2">
      <c r="A17" s="45" t="s">
        <v>23</v>
      </c>
      <c r="B17" s="25" t="s">
        <v>12</v>
      </c>
      <c r="C17" s="24">
        <v>1173463</v>
      </c>
      <c r="D17" s="25">
        <v>4178674</v>
      </c>
      <c r="E17" s="24">
        <v>2295775</v>
      </c>
      <c r="F17" s="24">
        <v>3174648</v>
      </c>
      <c r="G17" s="24">
        <v>224431</v>
      </c>
      <c r="H17" s="24">
        <v>5694854</v>
      </c>
      <c r="I17" s="24">
        <v>1287053</v>
      </c>
      <c r="J17" s="24">
        <v>1002861</v>
      </c>
      <c r="K17" s="24">
        <v>7984768</v>
      </c>
      <c r="L17" s="44"/>
    </row>
    <row r="18" spans="1:12" x14ac:dyDescent="0.2">
      <c r="A18" s="45" t="s">
        <v>24</v>
      </c>
      <c r="B18" s="25" t="s">
        <v>19</v>
      </c>
      <c r="C18" s="24">
        <v>1533149</v>
      </c>
      <c r="D18" s="25">
        <v>5786252</v>
      </c>
      <c r="E18" s="24">
        <v>2278754</v>
      </c>
      <c r="F18" s="24">
        <v>3866300</v>
      </c>
      <c r="G18" s="24">
        <v>323731</v>
      </c>
      <c r="H18" s="24">
        <v>6468785</v>
      </c>
      <c r="I18" s="24">
        <v>1246640</v>
      </c>
      <c r="J18" s="24">
        <v>1208452</v>
      </c>
      <c r="K18" s="24">
        <v>8923877</v>
      </c>
      <c r="L18" s="44"/>
    </row>
    <row r="19" spans="1:12" x14ac:dyDescent="0.2">
      <c r="A19" s="45" t="s">
        <v>25</v>
      </c>
      <c r="B19" s="25" t="s">
        <v>12</v>
      </c>
      <c r="C19" s="24">
        <v>2017322</v>
      </c>
      <c r="D19" s="25">
        <v>6179723</v>
      </c>
      <c r="E19" s="24">
        <v>2612470</v>
      </c>
      <c r="F19" s="24">
        <v>4294167</v>
      </c>
      <c r="G19" s="24">
        <v>315816</v>
      </c>
      <c r="H19" s="24">
        <v>7222453</v>
      </c>
      <c r="I19" s="24">
        <v>1436580</v>
      </c>
      <c r="J19" s="24">
        <v>1038572</v>
      </c>
      <c r="K19" s="24">
        <v>9697605</v>
      </c>
      <c r="L19" s="44"/>
    </row>
    <row r="20" spans="1:12" x14ac:dyDescent="0.2">
      <c r="A20" s="45" t="s">
        <v>26</v>
      </c>
      <c r="B20" s="25" t="s">
        <v>12</v>
      </c>
      <c r="C20" s="24">
        <v>1474573</v>
      </c>
      <c r="D20" s="25">
        <v>7533246</v>
      </c>
      <c r="E20" s="24">
        <v>2150788</v>
      </c>
      <c r="F20" s="24">
        <v>4106376</v>
      </c>
      <c r="G20" s="24">
        <v>356355</v>
      </c>
      <c r="H20" s="24">
        <v>6613519</v>
      </c>
      <c r="I20" s="24">
        <v>1246898</v>
      </c>
      <c r="J20" s="24">
        <v>2006833</v>
      </c>
      <c r="K20" s="24">
        <v>9867250</v>
      </c>
      <c r="L20" s="44"/>
    </row>
    <row r="21" spans="1:12" x14ac:dyDescent="0.2">
      <c r="A21" s="45" t="s">
        <v>27</v>
      </c>
      <c r="B21" s="25" t="s">
        <v>12</v>
      </c>
      <c r="C21" s="24">
        <v>8434807</v>
      </c>
      <c r="D21" s="25">
        <v>15583878</v>
      </c>
      <c r="E21" s="24">
        <v>13322665</v>
      </c>
      <c r="F21" s="24">
        <v>14903884</v>
      </c>
      <c r="G21" s="24">
        <v>4219762</v>
      </c>
      <c r="H21" s="24">
        <v>32446311</v>
      </c>
      <c r="I21" s="24">
        <v>6121692</v>
      </c>
      <c r="J21" s="24">
        <v>6674790</v>
      </c>
      <c r="K21" s="24">
        <v>45242793</v>
      </c>
      <c r="L21" s="44"/>
    </row>
    <row r="22" spans="1:12" x14ac:dyDescent="0.2">
      <c r="A22" s="45" t="s">
        <v>28</v>
      </c>
      <c r="B22" s="25" t="s">
        <v>12</v>
      </c>
      <c r="C22" s="24">
        <v>1207937</v>
      </c>
      <c r="D22" s="25">
        <v>4524076</v>
      </c>
      <c r="E22" s="24">
        <v>2589403</v>
      </c>
      <c r="F22" s="24">
        <v>3600521</v>
      </c>
      <c r="G22" s="24">
        <v>739438</v>
      </c>
      <c r="H22" s="24">
        <v>6929362</v>
      </c>
      <c r="I22" s="24">
        <v>1290791</v>
      </c>
      <c r="J22" s="24">
        <v>1145078</v>
      </c>
      <c r="K22" s="24">
        <v>9365231</v>
      </c>
      <c r="L22" s="44"/>
    </row>
    <row r="23" spans="1:12" x14ac:dyDescent="0.2">
      <c r="A23" s="45" t="s">
        <v>29</v>
      </c>
      <c r="B23" s="25" t="s">
        <v>12</v>
      </c>
      <c r="C23" s="24">
        <v>1655371</v>
      </c>
      <c r="D23" s="25">
        <v>7701688</v>
      </c>
      <c r="E23" s="24">
        <v>3507965</v>
      </c>
      <c r="F23" s="24">
        <v>3631119</v>
      </c>
      <c r="G23" s="24">
        <v>536716</v>
      </c>
      <c r="H23" s="24">
        <v>7675800</v>
      </c>
      <c r="I23" s="24">
        <v>2061541</v>
      </c>
      <c r="J23" s="24">
        <v>1093537</v>
      </c>
      <c r="K23" s="24">
        <v>10830878</v>
      </c>
      <c r="L23" s="44"/>
    </row>
    <row r="24" spans="1:12" x14ac:dyDescent="0.2">
      <c r="A24" s="45" t="s">
        <v>30</v>
      </c>
      <c r="B24" s="25" t="s">
        <v>19</v>
      </c>
      <c r="C24" s="24">
        <v>796974</v>
      </c>
      <c r="D24" s="25">
        <v>3058597</v>
      </c>
      <c r="E24" s="24">
        <v>1693021</v>
      </c>
      <c r="F24" s="24">
        <v>2550654</v>
      </c>
      <c r="G24" s="24">
        <v>124251</v>
      </c>
      <c r="H24" s="24">
        <v>4367926</v>
      </c>
      <c r="I24" s="24">
        <v>964600</v>
      </c>
      <c r="J24" s="24">
        <v>694318</v>
      </c>
      <c r="K24" s="24">
        <v>6026844</v>
      </c>
      <c r="L24" s="44"/>
    </row>
    <row r="25" spans="1:12" ht="12" thickBot="1" x14ac:dyDescent="0.25">
      <c r="A25" s="45" t="s">
        <v>31</v>
      </c>
      <c r="B25" s="46" t="s">
        <v>12</v>
      </c>
      <c r="C25" s="24">
        <v>2673310</v>
      </c>
      <c r="D25" s="25">
        <v>6149145</v>
      </c>
      <c r="E25" s="24">
        <v>4615013</v>
      </c>
      <c r="F25" s="24">
        <v>4468231</v>
      </c>
      <c r="G25" s="24">
        <v>933762</v>
      </c>
      <c r="H25" s="24">
        <v>10017006</v>
      </c>
      <c r="I25" s="24">
        <v>2164132</v>
      </c>
      <c r="J25" s="24">
        <v>4070657</v>
      </c>
      <c r="K25" s="24">
        <v>16251795</v>
      </c>
      <c r="L25" s="44"/>
    </row>
    <row r="26" spans="1:12" ht="12" thickTop="1" x14ac:dyDescent="0.2">
      <c r="A26" s="42" t="s">
        <v>32</v>
      </c>
      <c r="B26" s="25" t="s">
        <v>19</v>
      </c>
      <c r="C26" s="24">
        <v>813237</v>
      </c>
      <c r="D26" s="25">
        <v>2649232</v>
      </c>
      <c r="E26" s="23">
        <v>2811664</v>
      </c>
      <c r="F26" s="23">
        <v>3816638</v>
      </c>
      <c r="G26" s="23">
        <v>171823</v>
      </c>
      <c r="H26" s="23">
        <v>6800125</v>
      </c>
      <c r="I26" s="23">
        <v>1296195</v>
      </c>
      <c r="J26" s="23">
        <v>856605</v>
      </c>
      <c r="K26" s="23">
        <v>8952925</v>
      </c>
      <c r="L26" s="44"/>
    </row>
    <row r="27" spans="1:12" x14ac:dyDescent="0.2">
      <c r="A27" s="45" t="s">
        <v>33</v>
      </c>
      <c r="B27" s="25" t="s">
        <v>19</v>
      </c>
      <c r="C27" s="24">
        <v>2265304</v>
      </c>
      <c r="D27" s="25">
        <v>5876382</v>
      </c>
      <c r="E27" s="24">
        <v>3552524</v>
      </c>
      <c r="F27" s="24">
        <v>6000316</v>
      </c>
      <c r="G27" s="24">
        <v>147573</v>
      </c>
      <c r="H27" s="24">
        <v>9700413</v>
      </c>
      <c r="I27" s="24">
        <v>2582355</v>
      </c>
      <c r="J27" s="24">
        <v>642462</v>
      </c>
      <c r="K27" s="24">
        <v>12925230</v>
      </c>
      <c r="L27" s="44"/>
    </row>
    <row r="28" spans="1:12" x14ac:dyDescent="0.2">
      <c r="A28" s="45" t="s">
        <v>34</v>
      </c>
      <c r="B28" s="25" t="s">
        <v>12</v>
      </c>
      <c r="C28" s="24">
        <v>4907115</v>
      </c>
      <c r="D28" s="25">
        <v>7225262</v>
      </c>
      <c r="E28" s="24">
        <v>4635759</v>
      </c>
      <c r="F28" s="24">
        <v>6395985</v>
      </c>
      <c r="G28" s="24">
        <v>980874</v>
      </c>
      <c r="H28" s="24">
        <v>12012618</v>
      </c>
      <c r="I28" s="24">
        <v>2218105</v>
      </c>
      <c r="J28" s="24">
        <v>2669693</v>
      </c>
      <c r="K28" s="24">
        <v>16900416</v>
      </c>
      <c r="L28" s="44"/>
    </row>
    <row r="29" spans="1:12" x14ac:dyDescent="0.2">
      <c r="A29" s="45" t="s">
        <v>35</v>
      </c>
      <c r="B29" s="25" t="s">
        <v>19</v>
      </c>
      <c r="C29" s="24">
        <v>1955900</v>
      </c>
      <c r="D29" s="25">
        <v>6931720</v>
      </c>
      <c r="E29" s="24">
        <v>5245735</v>
      </c>
      <c r="F29" s="24">
        <v>7759009</v>
      </c>
      <c r="G29" s="24">
        <v>356000</v>
      </c>
      <c r="H29" s="24">
        <v>13360744</v>
      </c>
      <c r="I29" s="24">
        <v>2572123</v>
      </c>
      <c r="J29" s="24">
        <v>1113260</v>
      </c>
      <c r="K29" s="47">
        <v>17046127</v>
      </c>
      <c r="L29" s="44"/>
    </row>
    <row r="30" spans="1:12" x14ac:dyDescent="0.2">
      <c r="A30" s="45" t="s">
        <v>36</v>
      </c>
      <c r="B30" s="25" t="s">
        <v>19</v>
      </c>
      <c r="C30" s="24">
        <v>910044</v>
      </c>
      <c r="D30" s="25">
        <v>2555176</v>
      </c>
      <c r="E30" s="24">
        <v>2858581</v>
      </c>
      <c r="F30" s="24">
        <v>4083292</v>
      </c>
      <c r="G30" s="24">
        <v>433030</v>
      </c>
      <c r="H30" s="24">
        <v>7374903</v>
      </c>
      <c r="I30" s="24">
        <v>1365143</v>
      </c>
      <c r="J30" s="24">
        <v>279202</v>
      </c>
      <c r="K30" s="47">
        <v>9019248</v>
      </c>
      <c r="L30" s="44"/>
    </row>
    <row r="31" spans="1:12" ht="12" thickBot="1" x14ac:dyDescent="0.25">
      <c r="A31" s="45" t="s">
        <v>37</v>
      </c>
      <c r="B31" s="25" t="s">
        <v>12</v>
      </c>
      <c r="C31" s="24">
        <v>401283</v>
      </c>
      <c r="D31" s="25">
        <v>2369628</v>
      </c>
      <c r="E31" s="24">
        <v>1469050</v>
      </c>
      <c r="F31" s="24">
        <v>1797600</v>
      </c>
      <c r="G31" s="24">
        <v>184570</v>
      </c>
      <c r="H31" s="24">
        <v>3451220</v>
      </c>
      <c r="I31" s="24">
        <v>724487</v>
      </c>
      <c r="J31" s="24">
        <v>288814</v>
      </c>
      <c r="K31" s="47">
        <v>4464521</v>
      </c>
      <c r="L31" s="44"/>
    </row>
    <row r="32" spans="1:12" ht="12" thickTop="1" x14ac:dyDescent="0.2">
      <c r="A32" s="42" t="s">
        <v>38</v>
      </c>
      <c r="B32" s="25" t="s">
        <v>19</v>
      </c>
      <c r="C32" s="24">
        <v>773843</v>
      </c>
      <c r="D32" s="25">
        <v>4441747</v>
      </c>
      <c r="E32" s="23">
        <v>2382759</v>
      </c>
      <c r="F32" s="23">
        <v>2519301</v>
      </c>
      <c r="G32" s="23">
        <v>333476</v>
      </c>
      <c r="H32" s="23">
        <v>5235536</v>
      </c>
      <c r="I32" s="23">
        <v>977771</v>
      </c>
      <c r="J32" s="23">
        <v>852346</v>
      </c>
      <c r="K32" s="23">
        <v>7065653</v>
      </c>
      <c r="L32" s="44"/>
    </row>
    <row r="33" spans="1:12" x14ac:dyDescent="0.2">
      <c r="A33" s="45" t="s">
        <v>39</v>
      </c>
      <c r="B33" s="25" t="s">
        <v>12</v>
      </c>
      <c r="C33" s="24">
        <v>1560668</v>
      </c>
      <c r="D33" s="25">
        <v>4027005</v>
      </c>
      <c r="E33" s="24">
        <v>2677805</v>
      </c>
      <c r="F33" s="24">
        <v>3950869</v>
      </c>
      <c r="G33" s="24">
        <v>722407</v>
      </c>
      <c r="H33" s="24">
        <v>7351081</v>
      </c>
      <c r="I33" s="24">
        <v>932115</v>
      </c>
      <c r="J33" s="24">
        <v>1378479</v>
      </c>
      <c r="K33" s="24">
        <v>9661675</v>
      </c>
      <c r="L33" s="44"/>
    </row>
    <row r="34" spans="1:12" ht="12" thickBot="1" x14ac:dyDescent="0.25">
      <c r="A34" s="45" t="s">
        <v>40</v>
      </c>
      <c r="B34" s="25" t="s">
        <v>12</v>
      </c>
      <c r="C34" s="24">
        <v>513465</v>
      </c>
      <c r="D34" s="25">
        <v>1406335</v>
      </c>
      <c r="E34" s="25" t="s">
        <v>15</v>
      </c>
      <c r="F34" s="25" t="s">
        <v>15</v>
      </c>
      <c r="G34" s="24">
        <v>173053</v>
      </c>
      <c r="H34" s="24">
        <v>4212139</v>
      </c>
      <c r="I34" s="25" t="s">
        <v>15</v>
      </c>
      <c r="J34" s="24">
        <v>434699</v>
      </c>
      <c r="K34" s="24">
        <v>4646838</v>
      </c>
      <c r="L34" s="44"/>
    </row>
    <row r="35" spans="1:12" ht="12" thickTop="1" x14ac:dyDescent="0.2">
      <c r="A35" s="42" t="s">
        <v>86</v>
      </c>
      <c r="B35" s="25" t="s">
        <v>12</v>
      </c>
      <c r="C35" s="25"/>
      <c r="D35" s="25"/>
      <c r="E35" s="41" t="s">
        <v>15</v>
      </c>
      <c r="F35" s="41" t="s">
        <v>15</v>
      </c>
      <c r="G35" s="41" t="s">
        <v>15</v>
      </c>
      <c r="H35" s="23">
        <v>19019123</v>
      </c>
      <c r="I35" s="41" t="s">
        <v>15</v>
      </c>
      <c r="J35" s="23">
        <v>12777523</v>
      </c>
      <c r="K35" s="24">
        <v>31796646</v>
      </c>
      <c r="L35" s="44"/>
    </row>
    <row r="36" spans="1:12" ht="22.5" x14ac:dyDescent="0.2">
      <c r="A36" s="48" t="s">
        <v>87</v>
      </c>
      <c r="B36" s="49" t="s">
        <v>19</v>
      </c>
      <c r="C36" s="49"/>
      <c r="D36" s="49"/>
      <c r="E36" s="50">
        <v>19713623</v>
      </c>
      <c r="F36" s="50">
        <v>6113227</v>
      </c>
      <c r="G36" s="49" t="s">
        <v>88</v>
      </c>
      <c r="H36" s="50">
        <v>26109837</v>
      </c>
      <c r="I36" s="49" t="s">
        <v>88</v>
      </c>
      <c r="J36" s="50">
        <v>10226839</v>
      </c>
      <c r="K36" s="50">
        <v>36336676</v>
      </c>
      <c r="L36" s="51"/>
    </row>
    <row r="37" spans="1:12" ht="12" thickBot="1" x14ac:dyDescent="0.25">
      <c r="A37" s="52" t="s">
        <v>89</v>
      </c>
      <c r="B37" s="25" t="s">
        <v>12</v>
      </c>
      <c r="C37" s="25"/>
      <c r="D37" s="25"/>
      <c r="E37" s="25" t="s">
        <v>90</v>
      </c>
      <c r="F37" s="25" t="s">
        <v>90</v>
      </c>
      <c r="G37" s="25" t="s">
        <v>90</v>
      </c>
      <c r="H37" s="25" t="s">
        <v>90</v>
      </c>
      <c r="I37" s="25" t="s">
        <v>90</v>
      </c>
      <c r="J37" s="25" t="s">
        <v>90</v>
      </c>
      <c r="K37" s="25" t="s">
        <v>90</v>
      </c>
      <c r="L37" s="44"/>
    </row>
    <row r="38" spans="1:12" ht="12.75" thickTop="1" thickBot="1" x14ac:dyDescent="0.25">
      <c r="A38" s="53" t="s">
        <v>41</v>
      </c>
      <c r="B38" s="54"/>
      <c r="C38" s="54"/>
      <c r="D38" s="54"/>
      <c r="E38" s="55">
        <v>4142134.777777778</v>
      </c>
      <c r="F38" s="55">
        <v>4782115.6296296297</v>
      </c>
      <c r="G38" s="55">
        <v>615823.34615384613</v>
      </c>
      <c r="H38" s="55">
        <v>9665771.1724137925</v>
      </c>
      <c r="I38" s="55">
        <v>1736255.48</v>
      </c>
      <c r="J38" s="55">
        <v>2182389.7241379311</v>
      </c>
      <c r="K38" s="55">
        <v>13281209.517241379</v>
      </c>
      <c r="L38" s="30"/>
    </row>
    <row r="39" spans="1:12" ht="12.75" thickTop="1" thickBot="1" x14ac:dyDescent="0.25">
      <c r="A39" s="56" t="s">
        <v>91</v>
      </c>
      <c r="B39" s="57"/>
      <c r="C39" s="57"/>
      <c r="D39" s="57"/>
      <c r="E39" s="58">
        <f t="shared" ref="E39:K39" si="0">SUM(E8:E10,E11:E15,E16:E25,E26:E31,E32:E34,E35:E37)</f>
        <v>111837639</v>
      </c>
      <c r="F39" s="58">
        <f t="shared" si="0"/>
        <v>129117122</v>
      </c>
      <c r="G39" s="58">
        <f t="shared" si="0"/>
        <v>16011407</v>
      </c>
      <c r="H39" s="58">
        <f t="shared" si="0"/>
        <v>280307364</v>
      </c>
      <c r="I39" s="58">
        <f t="shared" si="0"/>
        <v>43406387</v>
      </c>
      <c r="J39" s="58">
        <f t="shared" si="0"/>
        <v>63289302</v>
      </c>
      <c r="K39" s="58">
        <f t="shared" si="0"/>
        <v>385155076</v>
      </c>
      <c r="L39" s="59"/>
    </row>
    <row r="40" spans="1:12" ht="12" thickTop="1" x14ac:dyDescent="0.2">
      <c r="A40" s="14" t="s">
        <v>42</v>
      </c>
      <c r="B40" s="15"/>
      <c r="C40" s="15"/>
      <c r="D40" s="15"/>
      <c r="E40" s="14" t="s">
        <v>43</v>
      </c>
      <c r="F40" s="14"/>
      <c r="G40" s="14" t="s">
        <v>44</v>
      </c>
      <c r="H40" s="14"/>
      <c r="I40" s="14"/>
      <c r="J40" s="14"/>
      <c r="K40" s="60"/>
      <c r="L40" s="14"/>
    </row>
    <row r="41" spans="1:12" x14ac:dyDescent="0.2">
      <c r="A41" s="14" t="s">
        <v>45</v>
      </c>
      <c r="B41" s="15"/>
      <c r="C41" s="15"/>
      <c r="D41" s="15"/>
      <c r="E41" s="14"/>
      <c r="F41" s="14"/>
      <c r="G41" s="14" t="s">
        <v>46</v>
      </c>
      <c r="H41" s="14"/>
      <c r="I41" s="14"/>
      <c r="J41" s="14"/>
      <c r="K41" s="60"/>
      <c r="L41" s="14"/>
    </row>
    <row r="42" spans="1:12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4" spans="1:12" x14ac:dyDescent="0.2">
      <c r="B44" s="2" t="s">
        <v>101</v>
      </c>
    </row>
  </sheetData>
  <phoneticPr fontId="0" type="noConversion"/>
  <pageMargins left="0.75" right="0.75" top="1" bottom="1" header="0.5" footer="0.5"/>
  <pageSetup paperSize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9" sqref="D9"/>
    </sheetView>
  </sheetViews>
  <sheetFormatPr defaultColWidth="9.1640625" defaultRowHeight="11.25" x14ac:dyDescent="0.2"/>
  <cols>
    <col min="1" max="1" width="20" style="2" customWidth="1"/>
    <col min="2" max="4" width="15.5" style="2" customWidth="1"/>
    <col min="5" max="5" width="16" style="2" customWidth="1"/>
    <col min="6" max="6" width="19.1640625" style="2" customWidth="1"/>
    <col min="7" max="8" width="14.5" style="2" customWidth="1"/>
    <col min="9" max="9" width="17.1640625" style="2" customWidth="1"/>
    <col min="10" max="11" width="15.5" style="2" customWidth="1"/>
    <col min="12" max="12" width="18.83203125" style="2" customWidth="1"/>
    <col min="13" max="13" width="16.1640625" style="2" customWidth="1"/>
    <col min="14" max="16" width="14.5" style="2" customWidth="1"/>
    <col min="17" max="16384" width="9.1640625" style="2"/>
  </cols>
  <sheetData>
    <row r="1" spans="1:17" ht="12" thickTop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7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7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7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7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7" x14ac:dyDescent="0.2">
      <c r="A6" s="5"/>
      <c r="B6" s="121" t="s">
        <v>49</v>
      </c>
      <c r="C6" s="121"/>
      <c r="D6" s="121"/>
      <c r="E6" s="120" t="s">
        <v>48</v>
      </c>
      <c r="F6" s="120"/>
      <c r="G6" s="120"/>
      <c r="H6" s="120"/>
      <c r="I6" s="5"/>
      <c r="J6" s="5"/>
      <c r="K6" s="5"/>
      <c r="L6" s="5"/>
    </row>
    <row r="7" spans="1:17" ht="45.75" thickBot="1" x14ac:dyDescent="0.25">
      <c r="A7" s="6"/>
      <c r="B7" s="17" t="s">
        <v>50</v>
      </c>
      <c r="C7" s="17" t="s">
        <v>51</v>
      </c>
      <c r="D7" s="7" t="s">
        <v>52</v>
      </c>
      <c r="E7" s="8" t="s">
        <v>3</v>
      </c>
      <c r="F7" s="9" t="s">
        <v>4</v>
      </c>
      <c r="G7" s="8" t="s">
        <v>5</v>
      </c>
      <c r="H7" s="9" t="s">
        <v>47</v>
      </c>
      <c r="I7" s="9" t="s">
        <v>6</v>
      </c>
      <c r="J7" s="8" t="s">
        <v>94</v>
      </c>
      <c r="K7" s="8" t="s">
        <v>95</v>
      </c>
      <c r="L7" s="8" t="s">
        <v>8</v>
      </c>
      <c r="M7" s="13" t="s">
        <v>53</v>
      </c>
      <c r="N7" s="13" t="s">
        <v>49</v>
      </c>
      <c r="O7" s="13" t="s">
        <v>54</v>
      </c>
      <c r="P7" s="13" t="s">
        <v>55</v>
      </c>
    </row>
    <row r="8" spans="1:17" ht="12.75" thickTop="1" thickBot="1" x14ac:dyDescent="0.25">
      <c r="A8" s="16" t="s">
        <v>10</v>
      </c>
      <c r="B8" s="64" t="s">
        <v>99</v>
      </c>
      <c r="C8" s="64" t="s">
        <v>100</v>
      </c>
      <c r="D8" s="6" t="s">
        <v>98</v>
      </c>
      <c r="E8" s="18" t="s">
        <v>79</v>
      </c>
      <c r="F8" s="18" t="s">
        <v>80</v>
      </c>
      <c r="G8" s="18" t="s">
        <v>81</v>
      </c>
      <c r="H8" s="18"/>
      <c r="I8" s="18" t="s">
        <v>82</v>
      </c>
      <c r="J8" s="18" t="s">
        <v>83</v>
      </c>
      <c r="K8" s="18"/>
      <c r="L8" s="18" t="s">
        <v>84</v>
      </c>
    </row>
    <row r="9" spans="1:17" ht="12" thickTop="1" x14ac:dyDescent="0.2">
      <c r="A9" s="10" t="s">
        <v>11</v>
      </c>
      <c r="B9" s="62">
        <v>3124701</v>
      </c>
      <c r="C9" s="62">
        <v>11510422</v>
      </c>
      <c r="D9" s="62">
        <v>14931001</v>
      </c>
      <c r="E9" s="76" t="s">
        <v>102</v>
      </c>
      <c r="F9" s="66" t="s">
        <v>102</v>
      </c>
      <c r="G9" s="66" t="s">
        <v>102</v>
      </c>
      <c r="H9" s="70" t="s">
        <v>102</v>
      </c>
      <c r="I9" s="67">
        <v>15704355</v>
      </c>
      <c r="J9" s="78">
        <v>2585596</v>
      </c>
      <c r="K9" s="78">
        <f>SUM(I9:J9)</f>
        <v>18289951</v>
      </c>
      <c r="L9" s="78">
        <v>3335797</v>
      </c>
      <c r="M9" s="79">
        <f>D9+I9+J9+L9</f>
        <v>36556749</v>
      </c>
      <c r="N9" s="80">
        <f>D9/M9</f>
        <v>0.40843350156765856</v>
      </c>
      <c r="O9" s="80">
        <f>K9/M9</f>
        <v>0.50031667203229702</v>
      </c>
      <c r="P9" s="80">
        <f>L9/M9</f>
        <v>9.124982640004449E-2</v>
      </c>
      <c r="Q9" s="21">
        <f>SUM(N9:P9)</f>
        <v>1</v>
      </c>
    </row>
    <row r="10" spans="1:17" x14ac:dyDescent="0.2">
      <c r="A10" s="11" t="s">
        <v>13</v>
      </c>
      <c r="B10" s="62">
        <v>2922293</v>
      </c>
      <c r="C10" s="62">
        <v>4998759</v>
      </c>
      <c r="D10" s="62">
        <v>9072302</v>
      </c>
      <c r="E10" s="75" t="s">
        <v>102</v>
      </c>
      <c r="F10" s="72">
        <v>3111579</v>
      </c>
      <c r="G10" s="68">
        <v>561039</v>
      </c>
      <c r="H10" s="67">
        <f>F10+G10</f>
        <v>3672618</v>
      </c>
      <c r="I10" s="67">
        <v>6362434</v>
      </c>
      <c r="J10" s="74">
        <v>1358380</v>
      </c>
      <c r="K10" s="78">
        <f t="shared" ref="K10:K35" si="0">SUM(I10:J10)</f>
        <v>7720814</v>
      </c>
      <c r="L10" s="74">
        <v>1325186</v>
      </c>
      <c r="M10" s="79">
        <f t="shared" ref="M10:M36" si="1">D10+I10+J10+L10</f>
        <v>18118302</v>
      </c>
      <c r="N10" s="80">
        <f t="shared" ref="N10:N36" si="2">D10/M10</f>
        <v>0.50072584064444892</v>
      </c>
      <c r="O10" s="80">
        <f t="shared" ref="O10:O36" si="3">K10/M10</f>
        <v>0.42613342022889339</v>
      </c>
      <c r="P10" s="80">
        <f t="shared" ref="P10:P36" si="4">L10/M10</f>
        <v>7.3140739126657681E-2</v>
      </c>
      <c r="Q10" s="21">
        <f t="shared" ref="Q10:Q36" si="5">SUM(N10:P10)</f>
        <v>1</v>
      </c>
    </row>
    <row r="11" spans="1:17" ht="12" thickBot="1" x14ac:dyDescent="0.25">
      <c r="A11" s="11" t="s">
        <v>14</v>
      </c>
      <c r="B11" s="62">
        <v>1531416</v>
      </c>
      <c r="C11" s="62">
        <v>3663363</v>
      </c>
      <c r="D11" s="62">
        <v>5579572</v>
      </c>
      <c r="E11" s="74">
        <v>2265952</v>
      </c>
      <c r="F11" s="72">
        <v>3750001</v>
      </c>
      <c r="G11" s="69" t="s">
        <v>102</v>
      </c>
      <c r="H11" s="71" t="s">
        <v>102</v>
      </c>
      <c r="I11" s="67">
        <v>6015953</v>
      </c>
      <c r="J11" s="74">
        <v>902846</v>
      </c>
      <c r="K11" s="78">
        <f t="shared" si="0"/>
        <v>6918799</v>
      </c>
      <c r="L11" s="74">
        <v>1366517</v>
      </c>
      <c r="M11" s="79">
        <f t="shared" si="1"/>
        <v>13864888</v>
      </c>
      <c r="N11" s="80">
        <f t="shared" si="2"/>
        <v>0.40242459946304648</v>
      </c>
      <c r="O11" s="80">
        <f t="shared" si="3"/>
        <v>0.49901585934195791</v>
      </c>
      <c r="P11" s="80">
        <f t="shared" si="4"/>
        <v>9.855954119499559E-2</v>
      </c>
      <c r="Q11" s="21">
        <f t="shared" si="5"/>
        <v>1</v>
      </c>
    </row>
    <row r="12" spans="1:17" ht="12" thickTop="1" x14ac:dyDescent="0.2">
      <c r="A12" s="10" t="s">
        <v>16</v>
      </c>
      <c r="B12" s="62">
        <v>5368076</v>
      </c>
      <c r="C12" s="62">
        <v>9794761</v>
      </c>
      <c r="D12" s="62">
        <v>15975399</v>
      </c>
      <c r="E12" s="74">
        <v>5743088</v>
      </c>
      <c r="F12" s="72">
        <v>9166184</v>
      </c>
      <c r="G12" s="65">
        <v>1001858</v>
      </c>
      <c r="H12" s="67">
        <f t="shared" ref="H12:H34" si="6">F12+G12</f>
        <v>10168042</v>
      </c>
      <c r="I12" s="67">
        <v>15911130</v>
      </c>
      <c r="J12" s="74">
        <v>2928363</v>
      </c>
      <c r="K12" s="78">
        <f t="shared" si="0"/>
        <v>18839493</v>
      </c>
      <c r="L12" s="74">
        <v>1567792</v>
      </c>
      <c r="M12" s="79">
        <f t="shared" si="1"/>
        <v>36382684</v>
      </c>
      <c r="N12" s="80">
        <f t="shared" si="2"/>
        <v>0.43909347094898221</v>
      </c>
      <c r="O12" s="80">
        <f t="shared" si="3"/>
        <v>0.51781482091865461</v>
      </c>
      <c r="P12" s="80">
        <f t="shared" si="4"/>
        <v>4.3091708132363189E-2</v>
      </c>
      <c r="Q12" s="21">
        <f t="shared" si="5"/>
        <v>1</v>
      </c>
    </row>
    <row r="13" spans="1:17" x14ac:dyDescent="0.2">
      <c r="A13" s="11" t="s">
        <v>17</v>
      </c>
      <c r="B13" s="62">
        <v>3002049</v>
      </c>
      <c r="C13" s="62">
        <v>6437990</v>
      </c>
      <c r="D13" s="62">
        <v>10780437</v>
      </c>
      <c r="E13" s="74">
        <v>3675749</v>
      </c>
      <c r="F13" s="72">
        <v>6315888</v>
      </c>
      <c r="G13" s="65">
        <v>567299</v>
      </c>
      <c r="H13" s="67">
        <f t="shared" si="6"/>
        <v>6883187</v>
      </c>
      <c r="I13" s="67">
        <v>10558936</v>
      </c>
      <c r="J13" s="74">
        <v>1938536</v>
      </c>
      <c r="K13" s="78">
        <f t="shared" si="0"/>
        <v>12497472</v>
      </c>
      <c r="L13" s="74">
        <v>1279927</v>
      </c>
      <c r="M13" s="79">
        <f t="shared" si="1"/>
        <v>24557836</v>
      </c>
      <c r="N13" s="80">
        <f t="shared" si="2"/>
        <v>0.43898155358639906</v>
      </c>
      <c r="O13" s="80">
        <f t="shared" si="3"/>
        <v>0.50889956264876102</v>
      </c>
      <c r="P13" s="80">
        <f t="shared" si="4"/>
        <v>5.2118883764839863E-2</v>
      </c>
      <c r="Q13" s="21">
        <f t="shared" si="5"/>
        <v>1</v>
      </c>
    </row>
    <row r="14" spans="1:17" x14ac:dyDescent="0.2">
      <c r="A14" s="11" t="s">
        <v>18</v>
      </c>
      <c r="B14" s="62">
        <v>1755902</v>
      </c>
      <c r="C14" s="62">
        <v>5097192</v>
      </c>
      <c r="D14" s="62">
        <v>7866758</v>
      </c>
      <c r="E14" s="74">
        <v>4500640</v>
      </c>
      <c r="F14" s="72">
        <v>5065751</v>
      </c>
      <c r="G14" s="65">
        <v>708600</v>
      </c>
      <c r="H14" s="67">
        <f t="shared" si="6"/>
        <v>5774351</v>
      </c>
      <c r="I14" s="67">
        <v>10274991</v>
      </c>
      <c r="J14" s="74">
        <v>1579188</v>
      </c>
      <c r="K14" s="78">
        <f t="shared" si="0"/>
        <v>11854179</v>
      </c>
      <c r="L14" s="74">
        <v>1646623</v>
      </c>
      <c r="M14" s="79">
        <f t="shared" si="1"/>
        <v>21367560</v>
      </c>
      <c r="N14" s="80">
        <f t="shared" si="2"/>
        <v>0.36816360876019538</v>
      </c>
      <c r="O14" s="80">
        <f t="shared" si="3"/>
        <v>0.55477457416756992</v>
      </c>
      <c r="P14" s="80">
        <f t="shared" si="4"/>
        <v>7.7061817072234737E-2</v>
      </c>
      <c r="Q14" s="21">
        <f t="shared" si="5"/>
        <v>1</v>
      </c>
    </row>
    <row r="15" spans="1:17" x14ac:dyDescent="0.2">
      <c r="A15" s="11" t="s">
        <v>20</v>
      </c>
      <c r="B15" s="62">
        <v>869214</v>
      </c>
      <c r="C15" s="62">
        <v>2030554</v>
      </c>
      <c r="D15" s="62">
        <v>3192344</v>
      </c>
      <c r="E15" s="74">
        <v>1390944</v>
      </c>
      <c r="F15" s="72">
        <v>1297086</v>
      </c>
      <c r="G15" s="65">
        <v>186758</v>
      </c>
      <c r="H15" s="67">
        <f t="shared" si="6"/>
        <v>1483844</v>
      </c>
      <c r="I15" s="67">
        <v>2874788</v>
      </c>
      <c r="J15" s="75" t="s">
        <v>102</v>
      </c>
      <c r="K15" s="78">
        <f t="shared" si="0"/>
        <v>2874788</v>
      </c>
      <c r="L15" s="74">
        <v>911824</v>
      </c>
      <c r="M15" s="79">
        <f>D15+I15+L15</f>
        <v>6978956</v>
      </c>
      <c r="N15" s="80">
        <f t="shared" si="2"/>
        <v>0.45742429096844855</v>
      </c>
      <c r="O15" s="80">
        <f t="shared" si="3"/>
        <v>0.41192235629512497</v>
      </c>
      <c r="P15" s="80">
        <f t="shared" si="4"/>
        <v>0.13065335273642648</v>
      </c>
      <c r="Q15" s="21">
        <f t="shared" si="5"/>
        <v>1</v>
      </c>
    </row>
    <row r="16" spans="1:17" ht="12" thickBot="1" x14ac:dyDescent="0.25">
      <c r="A16" s="11" t="s">
        <v>21</v>
      </c>
      <c r="B16" s="62">
        <v>2122006</v>
      </c>
      <c r="C16" s="62">
        <v>5659104</v>
      </c>
      <c r="D16" s="62">
        <v>8070112</v>
      </c>
      <c r="E16" s="74">
        <v>3035045</v>
      </c>
      <c r="F16" s="72">
        <v>3114477</v>
      </c>
      <c r="G16" s="65">
        <v>337072</v>
      </c>
      <c r="H16" s="67">
        <f t="shared" si="6"/>
        <v>3451549</v>
      </c>
      <c r="I16" s="67">
        <v>6486594</v>
      </c>
      <c r="J16" s="74">
        <v>1012547</v>
      </c>
      <c r="K16" s="78">
        <f t="shared" si="0"/>
        <v>7499141</v>
      </c>
      <c r="L16" s="74">
        <v>1034790</v>
      </c>
      <c r="M16" s="79">
        <f t="shared" si="1"/>
        <v>16604043</v>
      </c>
      <c r="N16" s="80">
        <f t="shared" si="2"/>
        <v>0.48603294992671364</v>
      </c>
      <c r="O16" s="80">
        <f t="shared" si="3"/>
        <v>0.45164548176609759</v>
      </c>
      <c r="P16" s="80">
        <f t="shared" si="4"/>
        <v>6.2321568307188796E-2</v>
      </c>
      <c r="Q16" s="21">
        <f t="shared" si="5"/>
        <v>1</v>
      </c>
    </row>
    <row r="17" spans="1:19" ht="12" thickTop="1" x14ac:dyDescent="0.2">
      <c r="A17" s="10" t="s">
        <v>22</v>
      </c>
      <c r="B17" s="62">
        <v>882819</v>
      </c>
      <c r="C17" s="62">
        <v>2834565</v>
      </c>
      <c r="D17" s="62">
        <v>5178237</v>
      </c>
      <c r="E17" s="74">
        <v>2099310</v>
      </c>
      <c r="F17" s="72">
        <v>4027931</v>
      </c>
      <c r="G17" s="65">
        <v>508682</v>
      </c>
      <c r="H17" s="67">
        <f t="shared" si="6"/>
        <v>4536613</v>
      </c>
      <c r="I17" s="67">
        <v>6635923</v>
      </c>
      <c r="J17" s="74">
        <v>1163167</v>
      </c>
      <c r="K17" s="78">
        <f t="shared" si="0"/>
        <v>7799090</v>
      </c>
      <c r="L17" s="74">
        <v>724391</v>
      </c>
      <c r="M17" s="79">
        <f t="shared" si="1"/>
        <v>13701718</v>
      </c>
      <c r="N17" s="80">
        <f t="shared" si="2"/>
        <v>0.37792611116357816</v>
      </c>
      <c r="O17" s="80">
        <f t="shared" si="3"/>
        <v>0.56920526316480902</v>
      </c>
      <c r="P17" s="80">
        <f t="shared" si="4"/>
        <v>5.2868625671612858E-2</v>
      </c>
      <c r="Q17" s="21">
        <f t="shared" si="5"/>
        <v>1</v>
      </c>
    </row>
    <row r="18" spans="1:19" x14ac:dyDescent="0.2">
      <c r="A18" s="11" t="s">
        <v>23</v>
      </c>
      <c r="B18" s="62">
        <v>1325991</v>
      </c>
      <c r="C18" s="62">
        <v>3809019</v>
      </c>
      <c r="D18" s="62">
        <v>5931743</v>
      </c>
      <c r="E18" s="74">
        <v>2613844</v>
      </c>
      <c r="F18" s="72">
        <v>3102668</v>
      </c>
      <c r="G18" s="65">
        <v>272734</v>
      </c>
      <c r="H18" s="67">
        <f t="shared" si="6"/>
        <v>3375402</v>
      </c>
      <c r="I18" s="67">
        <v>5989246</v>
      </c>
      <c r="J18" s="74">
        <v>1398577</v>
      </c>
      <c r="K18" s="78">
        <f t="shared" si="0"/>
        <v>7387823</v>
      </c>
      <c r="L18" s="74">
        <v>1912197</v>
      </c>
      <c r="M18" s="79">
        <f t="shared" si="1"/>
        <v>15231763</v>
      </c>
      <c r="N18" s="80">
        <f t="shared" si="2"/>
        <v>0.38943246425249656</v>
      </c>
      <c r="O18" s="80">
        <f t="shared" si="3"/>
        <v>0.48502743904300505</v>
      </c>
      <c r="P18" s="80">
        <f t="shared" si="4"/>
        <v>0.12554009670449837</v>
      </c>
      <c r="Q18" s="21">
        <f t="shared" si="5"/>
        <v>1</v>
      </c>
    </row>
    <row r="19" spans="1:19" x14ac:dyDescent="0.2">
      <c r="A19" s="11" t="s">
        <v>24</v>
      </c>
      <c r="B19" s="62">
        <v>1508234</v>
      </c>
      <c r="C19" s="62">
        <v>5751603</v>
      </c>
      <c r="D19" s="62">
        <v>7669782</v>
      </c>
      <c r="E19" s="74">
        <v>2259189</v>
      </c>
      <c r="F19" s="72">
        <v>3876568</v>
      </c>
      <c r="G19" s="65">
        <v>363321</v>
      </c>
      <c r="H19" s="67">
        <f t="shared" si="6"/>
        <v>4239889</v>
      </c>
      <c r="I19" s="67">
        <v>6499078</v>
      </c>
      <c r="J19" s="74">
        <v>1462831</v>
      </c>
      <c r="K19" s="78">
        <f t="shared" si="0"/>
        <v>7961909</v>
      </c>
      <c r="L19" s="74">
        <v>893379</v>
      </c>
      <c r="M19" s="79">
        <f t="shared" si="1"/>
        <v>16525070</v>
      </c>
      <c r="N19" s="80">
        <f t="shared" si="2"/>
        <v>0.46413007630224862</v>
      </c>
      <c r="O19" s="80">
        <f t="shared" si="3"/>
        <v>0.48180788341592501</v>
      </c>
      <c r="P19" s="80">
        <f t="shared" si="4"/>
        <v>5.4062040281826339E-2</v>
      </c>
      <c r="Q19" s="21">
        <f t="shared" si="5"/>
        <v>1</v>
      </c>
    </row>
    <row r="20" spans="1:19" x14ac:dyDescent="0.2">
      <c r="A20" s="11" t="s">
        <v>25</v>
      </c>
      <c r="B20" s="62">
        <v>2124824</v>
      </c>
      <c r="C20" s="62">
        <v>5827475</v>
      </c>
      <c r="D20" s="62">
        <v>8132417</v>
      </c>
      <c r="E20" s="74">
        <v>2482931</v>
      </c>
      <c r="F20" s="72">
        <v>4657360</v>
      </c>
      <c r="G20" s="65">
        <v>381338</v>
      </c>
      <c r="H20" s="67">
        <f t="shared" si="6"/>
        <v>5038698</v>
      </c>
      <c r="I20" s="67">
        <v>7521629</v>
      </c>
      <c r="J20" s="74">
        <v>1328071</v>
      </c>
      <c r="K20" s="78">
        <f t="shared" si="0"/>
        <v>8849700</v>
      </c>
      <c r="L20" s="74">
        <v>573628</v>
      </c>
      <c r="M20" s="79">
        <f t="shared" si="1"/>
        <v>17555745</v>
      </c>
      <c r="N20" s="80">
        <f t="shared" si="2"/>
        <v>0.46323394421598174</v>
      </c>
      <c r="O20" s="80">
        <f t="shared" si="3"/>
        <v>0.50409139572259676</v>
      </c>
      <c r="P20" s="80">
        <f t="shared" si="4"/>
        <v>3.2674660061421487E-2</v>
      </c>
      <c r="Q20" s="21">
        <f t="shared" si="5"/>
        <v>1</v>
      </c>
    </row>
    <row r="21" spans="1:19" x14ac:dyDescent="0.2">
      <c r="A21" s="11" t="s">
        <v>26</v>
      </c>
      <c r="B21" s="62">
        <v>1399787</v>
      </c>
      <c r="C21" s="62">
        <v>6425128</v>
      </c>
      <c r="D21" s="62">
        <v>8575407</v>
      </c>
      <c r="E21" s="74">
        <v>2333401</v>
      </c>
      <c r="F21" s="72">
        <v>4448190</v>
      </c>
      <c r="G21" s="65">
        <v>321331</v>
      </c>
      <c r="H21" s="67">
        <f t="shared" si="6"/>
        <v>4769521</v>
      </c>
      <c r="I21" s="67">
        <v>7102922</v>
      </c>
      <c r="J21" s="74">
        <v>1392730</v>
      </c>
      <c r="K21" s="78">
        <f t="shared" si="0"/>
        <v>8495652</v>
      </c>
      <c r="L21" s="74">
        <v>2258385</v>
      </c>
      <c r="M21" s="79">
        <f t="shared" si="1"/>
        <v>19329444</v>
      </c>
      <c r="N21" s="80">
        <f t="shared" si="2"/>
        <v>0.44364478357473708</v>
      </c>
      <c r="O21" s="80">
        <f t="shared" si="3"/>
        <v>0.43951869489882894</v>
      </c>
      <c r="P21" s="80">
        <f t="shared" si="4"/>
        <v>0.11683652152643398</v>
      </c>
      <c r="Q21" s="21">
        <f t="shared" si="5"/>
        <v>1</v>
      </c>
    </row>
    <row r="22" spans="1:19" x14ac:dyDescent="0.2">
      <c r="A22" s="11" t="s">
        <v>27</v>
      </c>
      <c r="B22" s="62">
        <v>9339649</v>
      </c>
      <c r="C22" s="62">
        <v>14982960</v>
      </c>
      <c r="D22" s="62">
        <v>25210690</v>
      </c>
      <c r="E22" s="74">
        <v>12777836</v>
      </c>
      <c r="F22" s="72">
        <v>16634316</v>
      </c>
      <c r="G22" s="65">
        <v>4056892</v>
      </c>
      <c r="H22" s="67">
        <f t="shared" si="6"/>
        <v>20691208</v>
      </c>
      <c r="I22" s="67">
        <v>33469044</v>
      </c>
      <c r="J22" s="74">
        <v>6792581</v>
      </c>
      <c r="K22" s="78">
        <f t="shared" si="0"/>
        <v>40261625</v>
      </c>
      <c r="L22" s="74">
        <v>7678993</v>
      </c>
      <c r="M22" s="79">
        <f t="shared" si="1"/>
        <v>73151308</v>
      </c>
      <c r="N22" s="80">
        <f t="shared" si="2"/>
        <v>0.34463758324048011</v>
      </c>
      <c r="O22" s="80">
        <f t="shared" si="3"/>
        <v>0.55038831294718615</v>
      </c>
      <c r="P22" s="80">
        <f t="shared" si="4"/>
        <v>0.10497410381233374</v>
      </c>
      <c r="Q22" s="21">
        <f t="shared" si="5"/>
        <v>1</v>
      </c>
    </row>
    <row r="23" spans="1:19" x14ac:dyDescent="0.2">
      <c r="A23" s="11" t="s">
        <v>28</v>
      </c>
      <c r="B23" s="62">
        <v>1118333</v>
      </c>
      <c r="C23" s="62">
        <v>5160968</v>
      </c>
      <c r="D23" s="62">
        <v>7810089</v>
      </c>
      <c r="E23" s="74">
        <v>2515917</v>
      </c>
      <c r="F23" s="72">
        <v>3496416</v>
      </c>
      <c r="G23" s="65">
        <v>746059</v>
      </c>
      <c r="H23" s="67">
        <f t="shared" si="6"/>
        <v>4242475</v>
      </c>
      <c r="I23" s="67">
        <v>6758392</v>
      </c>
      <c r="J23" s="74">
        <v>1266129</v>
      </c>
      <c r="K23" s="78">
        <f t="shared" si="0"/>
        <v>8024521</v>
      </c>
      <c r="L23" s="74">
        <v>791053</v>
      </c>
      <c r="M23" s="79">
        <f t="shared" si="1"/>
        <v>16625663</v>
      </c>
      <c r="N23" s="80">
        <f t="shared" si="2"/>
        <v>0.46976105554407066</v>
      </c>
      <c r="O23" s="80">
        <f t="shared" si="3"/>
        <v>0.48265870660315924</v>
      </c>
      <c r="P23" s="80">
        <f t="shared" si="4"/>
        <v>4.7580237852770144E-2</v>
      </c>
      <c r="Q23" s="21">
        <f t="shared" si="5"/>
        <v>1</v>
      </c>
    </row>
    <row r="24" spans="1:19" x14ac:dyDescent="0.2">
      <c r="A24" s="11" t="s">
        <v>29</v>
      </c>
      <c r="B24" s="62">
        <v>2209475</v>
      </c>
      <c r="C24" s="62">
        <v>8874837</v>
      </c>
      <c r="D24" s="62">
        <v>11232135</v>
      </c>
      <c r="E24" s="74">
        <v>3991201</v>
      </c>
      <c r="F24" s="72">
        <v>3563903</v>
      </c>
      <c r="G24" s="65">
        <v>500161</v>
      </c>
      <c r="H24" s="67">
        <f t="shared" si="6"/>
        <v>4064064</v>
      </c>
      <c r="I24" s="67">
        <v>8055265</v>
      </c>
      <c r="J24" s="74">
        <v>2211116</v>
      </c>
      <c r="K24" s="78">
        <f t="shared" si="0"/>
        <v>10266381</v>
      </c>
      <c r="L24" s="74">
        <v>755098</v>
      </c>
      <c r="M24" s="79">
        <f t="shared" si="1"/>
        <v>22253614</v>
      </c>
      <c r="N24" s="80">
        <f t="shared" si="2"/>
        <v>0.50473307391779154</v>
      </c>
      <c r="O24" s="80">
        <f t="shared" si="3"/>
        <v>0.46133544870509574</v>
      </c>
      <c r="P24" s="80">
        <f t="shared" si="4"/>
        <v>3.3931477377112766E-2</v>
      </c>
      <c r="Q24" s="21">
        <f t="shared" si="5"/>
        <v>1</v>
      </c>
    </row>
    <row r="25" spans="1:19" x14ac:dyDescent="0.2">
      <c r="A25" s="11" t="s">
        <v>30</v>
      </c>
      <c r="B25" s="62">
        <v>904087</v>
      </c>
      <c r="C25" s="62">
        <v>3298158</v>
      </c>
      <c r="D25" s="62">
        <v>4329868</v>
      </c>
      <c r="E25" s="74">
        <v>2013578</v>
      </c>
      <c r="F25" s="72">
        <v>2613841</v>
      </c>
      <c r="G25" s="65">
        <v>73718</v>
      </c>
      <c r="H25" s="67">
        <f t="shared" si="6"/>
        <v>2687559</v>
      </c>
      <c r="I25" s="67">
        <v>4701137</v>
      </c>
      <c r="J25" s="74">
        <v>991128</v>
      </c>
      <c r="K25" s="78">
        <f t="shared" si="0"/>
        <v>5692265</v>
      </c>
      <c r="L25" s="74">
        <v>572660</v>
      </c>
      <c r="M25" s="79">
        <f t="shared" si="1"/>
        <v>10594793</v>
      </c>
      <c r="N25" s="80">
        <f t="shared" si="2"/>
        <v>0.40867886706233902</v>
      </c>
      <c r="O25" s="80">
        <f t="shared" si="3"/>
        <v>0.5372700533177005</v>
      </c>
      <c r="P25" s="80">
        <f t="shared" si="4"/>
        <v>5.4051079619960488E-2</v>
      </c>
      <c r="Q25" s="21">
        <f t="shared" si="5"/>
        <v>1</v>
      </c>
    </row>
    <row r="26" spans="1:19" ht="12" thickBot="1" x14ac:dyDescent="0.25">
      <c r="A26" s="11" t="s">
        <v>31</v>
      </c>
      <c r="B26" s="62">
        <v>2871857</v>
      </c>
      <c r="C26" s="62">
        <v>6353013</v>
      </c>
      <c r="D26" s="62">
        <v>9896218</v>
      </c>
      <c r="E26" s="74">
        <v>4769852</v>
      </c>
      <c r="F26" s="72">
        <v>4767011</v>
      </c>
      <c r="G26" s="65">
        <v>1049524</v>
      </c>
      <c r="H26" s="67">
        <f t="shared" si="6"/>
        <v>5816535</v>
      </c>
      <c r="I26" s="67">
        <v>10586387</v>
      </c>
      <c r="J26" s="74">
        <v>2280928</v>
      </c>
      <c r="K26" s="78">
        <f t="shared" si="0"/>
        <v>12867315</v>
      </c>
      <c r="L26" s="74">
        <v>2283679</v>
      </c>
      <c r="M26" s="79">
        <f t="shared" si="1"/>
        <v>25047212</v>
      </c>
      <c r="N26" s="80">
        <f t="shared" si="2"/>
        <v>0.39510257668598003</v>
      </c>
      <c r="O26" s="80">
        <f t="shared" si="3"/>
        <v>0.51372244543624257</v>
      </c>
      <c r="P26" s="80">
        <f t="shared" si="4"/>
        <v>9.1174977877777369E-2</v>
      </c>
      <c r="Q26" s="21">
        <f t="shared" si="5"/>
        <v>1</v>
      </c>
      <c r="S26" s="2" t="s">
        <v>101</v>
      </c>
    </row>
    <row r="27" spans="1:19" ht="12" thickTop="1" x14ac:dyDescent="0.2">
      <c r="A27" s="10" t="s">
        <v>32</v>
      </c>
      <c r="B27" s="62">
        <v>951702</v>
      </c>
      <c r="C27" s="62">
        <v>3109503</v>
      </c>
      <c r="D27" s="62">
        <v>4217251</v>
      </c>
      <c r="E27" s="74">
        <v>3088026</v>
      </c>
      <c r="F27" s="72">
        <v>3909306</v>
      </c>
      <c r="G27" s="65">
        <v>131614</v>
      </c>
      <c r="H27" s="67">
        <f t="shared" si="6"/>
        <v>4040920</v>
      </c>
      <c r="I27" s="67">
        <v>7128947</v>
      </c>
      <c r="J27" s="74">
        <v>1379687</v>
      </c>
      <c r="K27" s="78">
        <f t="shared" si="0"/>
        <v>8508634</v>
      </c>
      <c r="L27" s="74">
        <v>499199</v>
      </c>
      <c r="M27" s="79">
        <f t="shared" si="1"/>
        <v>13225084</v>
      </c>
      <c r="N27" s="80">
        <f t="shared" si="2"/>
        <v>0.31888273828733338</v>
      </c>
      <c r="O27" s="80">
        <f t="shared" si="3"/>
        <v>0.64337088520571972</v>
      </c>
      <c r="P27" s="80">
        <f t="shared" si="4"/>
        <v>3.7746376506946948E-2</v>
      </c>
      <c r="Q27" s="21">
        <f t="shared" si="5"/>
        <v>1</v>
      </c>
    </row>
    <row r="28" spans="1:19" x14ac:dyDescent="0.2">
      <c r="A28" s="11" t="s">
        <v>33</v>
      </c>
      <c r="B28" s="62">
        <v>2066285</v>
      </c>
      <c r="C28" s="62">
        <v>7533055</v>
      </c>
      <c r="D28" s="62">
        <v>9796268</v>
      </c>
      <c r="E28" s="74">
        <v>3820078</v>
      </c>
      <c r="F28" s="72">
        <v>5991933</v>
      </c>
      <c r="G28" s="65">
        <v>253730</v>
      </c>
      <c r="H28" s="67">
        <f t="shared" si="6"/>
        <v>6245663</v>
      </c>
      <c r="I28" s="67">
        <v>10065741</v>
      </c>
      <c r="J28" s="74">
        <v>2679672</v>
      </c>
      <c r="K28" s="78">
        <f t="shared" si="0"/>
        <v>12745413</v>
      </c>
      <c r="L28" s="74">
        <v>603272</v>
      </c>
      <c r="M28" s="79">
        <f t="shared" si="1"/>
        <v>23144953</v>
      </c>
      <c r="N28" s="80">
        <f t="shared" si="2"/>
        <v>0.42325719996061345</v>
      </c>
      <c r="O28" s="80">
        <f t="shared" si="3"/>
        <v>0.55067785188416674</v>
      </c>
      <c r="P28" s="80">
        <f t="shared" si="4"/>
        <v>2.6064948155219845E-2</v>
      </c>
      <c r="Q28" s="21">
        <f t="shared" si="5"/>
        <v>1</v>
      </c>
    </row>
    <row r="29" spans="1:19" x14ac:dyDescent="0.2">
      <c r="A29" s="11" t="s">
        <v>34</v>
      </c>
      <c r="B29" s="62">
        <v>3519145</v>
      </c>
      <c r="C29" s="62">
        <v>8145878</v>
      </c>
      <c r="D29" s="62">
        <v>14082200</v>
      </c>
      <c r="E29" s="74">
        <v>5196316</v>
      </c>
      <c r="F29" s="72">
        <v>5909602</v>
      </c>
      <c r="G29" s="65">
        <v>1033912</v>
      </c>
      <c r="H29" s="67">
        <f t="shared" si="6"/>
        <v>6943514</v>
      </c>
      <c r="I29" s="67">
        <v>12139830</v>
      </c>
      <c r="J29" s="74">
        <v>2267009</v>
      </c>
      <c r="K29" s="78">
        <f t="shared" si="0"/>
        <v>14406839</v>
      </c>
      <c r="L29" s="74">
        <v>4648687</v>
      </c>
      <c r="M29" s="79">
        <f t="shared" si="1"/>
        <v>33137726</v>
      </c>
      <c r="N29" s="80">
        <f t="shared" si="2"/>
        <v>0.42495975734726033</v>
      </c>
      <c r="O29" s="80">
        <f t="shared" si="3"/>
        <v>0.43475641629724382</v>
      </c>
      <c r="P29" s="80">
        <f t="shared" si="4"/>
        <v>0.14028382635549586</v>
      </c>
      <c r="Q29" s="21">
        <f t="shared" si="5"/>
        <v>1</v>
      </c>
    </row>
    <row r="30" spans="1:19" x14ac:dyDescent="0.2">
      <c r="A30" s="11" t="s">
        <v>35</v>
      </c>
      <c r="B30" s="62">
        <v>2398406</v>
      </c>
      <c r="C30" s="62">
        <v>6884901</v>
      </c>
      <c r="D30" s="62">
        <v>9709517</v>
      </c>
      <c r="E30" s="74">
        <v>5885136</v>
      </c>
      <c r="F30" s="72">
        <v>8084100</v>
      </c>
      <c r="G30" s="65">
        <v>242000</v>
      </c>
      <c r="H30" s="67">
        <f t="shared" si="6"/>
        <v>8326100</v>
      </c>
      <c r="I30" s="67">
        <v>14211236</v>
      </c>
      <c r="J30" s="74">
        <v>2965144</v>
      </c>
      <c r="K30" s="78">
        <f t="shared" si="0"/>
        <v>17176380</v>
      </c>
      <c r="L30" s="74">
        <v>1175505</v>
      </c>
      <c r="M30" s="79">
        <f t="shared" si="1"/>
        <v>28061402</v>
      </c>
      <c r="N30" s="80">
        <f t="shared" si="2"/>
        <v>0.34600968975106805</v>
      </c>
      <c r="O30" s="80">
        <f t="shared" si="3"/>
        <v>0.61209985160399327</v>
      </c>
      <c r="P30" s="80">
        <f t="shared" si="4"/>
        <v>4.1890458644938698E-2</v>
      </c>
      <c r="Q30" s="21">
        <f t="shared" si="5"/>
        <v>1</v>
      </c>
    </row>
    <row r="31" spans="1:19" x14ac:dyDescent="0.2">
      <c r="A31" s="11" t="s">
        <v>36</v>
      </c>
      <c r="B31" s="62">
        <v>1680205</v>
      </c>
      <c r="C31" s="62">
        <v>1179206</v>
      </c>
      <c r="D31" s="62">
        <v>3623426</v>
      </c>
      <c r="E31" s="74">
        <v>2504284</v>
      </c>
      <c r="F31" s="72">
        <v>3545663</v>
      </c>
      <c r="G31" s="65">
        <v>353533</v>
      </c>
      <c r="H31" s="67">
        <f t="shared" si="6"/>
        <v>3899196</v>
      </c>
      <c r="I31" s="67">
        <v>6403480</v>
      </c>
      <c r="J31" s="74">
        <v>1301534</v>
      </c>
      <c r="K31" s="78">
        <f t="shared" si="0"/>
        <v>7705014</v>
      </c>
      <c r="L31" s="74">
        <v>535963</v>
      </c>
      <c r="M31" s="79">
        <f t="shared" si="1"/>
        <v>11864403</v>
      </c>
      <c r="N31" s="80">
        <f t="shared" si="2"/>
        <v>0.30540314586414502</v>
      </c>
      <c r="O31" s="80">
        <f t="shared" si="3"/>
        <v>0.64942281545898262</v>
      </c>
      <c r="P31" s="80">
        <f t="shared" si="4"/>
        <v>4.5174038676872322E-2</v>
      </c>
      <c r="Q31" s="21">
        <f t="shared" si="5"/>
        <v>0.99999999999999989</v>
      </c>
    </row>
    <row r="32" spans="1:19" ht="12" thickBot="1" x14ac:dyDescent="0.25">
      <c r="A32" s="11" t="s">
        <v>37</v>
      </c>
      <c r="B32" s="62">
        <v>417206</v>
      </c>
      <c r="C32" s="62">
        <v>2515405</v>
      </c>
      <c r="D32" s="62">
        <v>3918484</v>
      </c>
      <c r="E32" s="74">
        <v>1488173</v>
      </c>
      <c r="F32" s="72">
        <v>1721797</v>
      </c>
      <c r="G32" s="65">
        <v>323965</v>
      </c>
      <c r="H32" s="67">
        <f t="shared" si="6"/>
        <v>2045762</v>
      </c>
      <c r="I32" s="67">
        <v>3533935</v>
      </c>
      <c r="J32" s="74">
        <v>711227</v>
      </c>
      <c r="K32" s="78">
        <f t="shared" si="0"/>
        <v>4245162</v>
      </c>
      <c r="L32" s="74">
        <v>206312</v>
      </c>
      <c r="M32" s="79">
        <f t="shared" si="1"/>
        <v>8369958</v>
      </c>
      <c r="N32" s="80">
        <f t="shared" si="2"/>
        <v>0.46816053318308171</v>
      </c>
      <c r="O32" s="80">
        <f t="shared" si="3"/>
        <v>0.50719035866129791</v>
      </c>
      <c r="P32" s="80">
        <f t="shared" si="4"/>
        <v>2.4649108155620374E-2</v>
      </c>
      <c r="Q32" s="21">
        <f t="shared" si="5"/>
        <v>1</v>
      </c>
    </row>
    <row r="33" spans="1:17" ht="12" thickTop="1" x14ac:dyDescent="0.2">
      <c r="A33" s="10" t="s">
        <v>38</v>
      </c>
      <c r="B33" s="62">
        <v>738645</v>
      </c>
      <c r="C33" s="62">
        <v>5023344</v>
      </c>
      <c r="D33" s="62">
        <v>5961793</v>
      </c>
      <c r="E33" s="74">
        <v>2568548</v>
      </c>
      <c r="F33" s="72">
        <v>2454312</v>
      </c>
      <c r="G33" s="65">
        <v>342824</v>
      </c>
      <c r="H33" s="67">
        <f t="shared" si="6"/>
        <v>2797136</v>
      </c>
      <c r="I33" s="67">
        <v>5365684</v>
      </c>
      <c r="J33" s="74">
        <v>951507</v>
      </c>
      <c r="K33" s="78">
        <f t="shared" si="0"/>
        <v>6317191</v>
      </c>
      <c r="L33" s="74">
        <v>965232</v>
      </c>
      <c r="M33" s="79">
        <f t="shared" si="1"/>
        <v>13244216</v>
      </c>
      <c r="N33" s="80">
        <f t="shared" si="2"/>
        <v>0.45014314173069964</v>
      </c>
      <c r="O33" s="80">
        <f t="shared" si="3"/>
        <v>0.47697734618644094</v>
      </c>
      <c r="P33" s="80">
        <f t="shared" si="4"/>
        <v>7.2879512082859421E-2</v>
      </c>
      <c r="Q33" s="21">
        <f t="shared" si="5"/>
        <v>1</v>
      </c>
    </row>
    <row r="34" spans="1:17" x14ac:dyDescent="0.2">
      <c r="A34" s="11" t="s">
        <v>39</v>
      </c>
      <c r="B34" s="62">
        <v>1428655</v>
      </c>
      <c r="C34" s="62">
        <v>3981806</v>
      </c>
      <c r="D34" s="62">
        <v>5488780</v>
      </c>
      <c r="E34" s="74">
        <v>2805587</v>
      </c>
      <c r="F34" s="72">
        <v>3962358</v>
      </c>
      <c r="G34" s="68">
        <v>687343</v>
      </c>
      <c r="H34" s="67">
        <f t="shared" si="6"/>
        <v>4649701</v>
      </c>
      <c r="I34" s="67">
        <v>7455288</v>
      </c>
      <c r="J34" s="74">
        <v>1048345</v>
      </c>
      <c r="K34" s="78">
        <f t="shared" si="0"/>
        <v>8503633</v>
      </c>
      <c r="L34" s="74">
        <v>1372679</v>
      </c>
      <c r="M34" s="79">
        <f t="shared" si="1"/>
        <v>15365092</v>
      </c>
      <c r="N34" s="80">
        <f t="shared" si="2"/>
        <v>0.35722402443148404</v>
      </c>
      <c r="O34" s="80">
        <f t="shared" si="3"/>
        <v>0.55343846948654785</v>
      </c>
      <c r="P34" s="80">
        <f t="shared" si="4"/>
        <v>8.9337506081968138E-2</v>
      </c>
      <c r="Q34" s="21">
        <f t="shared" si="5"/>
        <v>1</v>
      </c>
    </row>
    <row r="35" spans="1:17" x14ac:dyDescent="0.2">
      <c r="A35" s="11" t="s">
        <v>40</v>
      </c>
      <c r="B35" s="62">
        <v>549057</v>
      </c>
      <c r="C35" s="62">
        <v>1411294</v>
      </c>
      <c r="D35" s="62">
        <v>2615624</v>
      </c>
      <c r="E35" s="75" t="s">
        <v>102</v>
      </c>
      <c r="F35" s="73" t="s">
        <v>102</v>
      </c>
      <c r="G35" s="68">
        <v>152574</v>
      </c>
      <c r="H35" s="71" t="s">
        <v>102</v>
      </c>
      <c r="I35" s="67">
        <v>4203697</v>
      </c>
      <c r="J35" s="75" t="s">
        <v>102</v>
      </c>
      <c r="K35" s="78">
        <f t="shared" si="0"/>
        <v>4203697</v>
      </c>
      <c r="L35" s="74">
        <v>450346</v>
      </c>
      <c r="M35" s="79">
        <f>D35+I35+L35</f>
        <v>7269667</v>
      </c>
      <c r="N35" s="80">
        <f t="shared" si="2"/>
        <v>0.3597996992159338</v>
      </c>
      <c r="O35" s="80">
        <f t="shared" si="3"/>
        <v>0.57825165856978045</v>
      </c>
      <c r="P35" s="80">
        <f t="shared" si="4"/>
        <v>6.1948642214285747E-2</v>
      </c>
      <c r="Q35" s="21">
        <f t="shared" si="5"/>
        <v>1</v>
      </c>
    </row>
    <row r="36" spans="1:17" ht="12" thickBot="1" x14ac:dyDescent="0.25">
      <c r="A36" s="12"/>
      <c r="B36" s="63">
        <f>SUM(B9:B35)</f>
        <v>58130019</v>
      </c>
      <c r="C36" s="63">
        <f>SUM(C9:C35)</f>
        <v>152294263</v>
      </c>
      <c r="D36" s="63">
        <f>SUM(D9:D35)</f>
        <v>228847854</v>
      </c>
      <c r="E36" s="77">
        <f>SUM(E11:E35)</f>
        <v>85824625</v>
      </c>
      <c r="F36" s="20">
        <f t="shared" ref="F36:L36" si="7">SUM(F9:F35)</f>
        <v>118588241</v>
      </c>
      <c r="G36" s="20">
        <f t="shared" si="7"/>
        <v>15157881</v>
      </c>
      <c r="H36" s="63">
        <f t="shared" si="7"/>
        <v>129843547</v>
      </c>
      <c r="I36" s="63">
        <f t="shared" si="7"/>
        <v>242016042</v>
      </c>
      <c r="J36" s="63">
        <f t="shared" si="7"/>
        <v>45896839</v>
      </c>
      <c r="K36" s="63">
        <f t="shared" si="7"/>
        <v>287912881</v>
      </c>
      <c r="L36" s="63">
        <f t="shared" si="7"/>
        <v>41369114</v>
      </c>
      <c r="M36" s="63">
        <f t="shared" si="1"/>
        <v>558129849</v>
      </c>
      <c r="N36" s="81">
        <f t="shared" si="2"/>
        <v>0.41002618729320101</v>
      </c>
      <c r="O36" s="81">
        <f t="shared" si="3"/>
        <v>0.51585286383778406</v>
      </c>
      <c r="P36" s="81">
        <f t="shared" si="4"/>
        <v>7.4120948869014894E-2</v>
      </c>
      <c r="Q36" s="21">
        <f t="shared" si="5"/>
        <v>1</v>
      </c>
    </row>
    <row r="37" spans="1:17" ht="12" thickTop="1" x14ac:dyDescent="0.2">
      <c r="A37" s="1" t="s">
        <v>42</v>
      </c>
      <c r="B37" s="1"/>
      <c r="C37" s="1"/>
      <c r="D37" s="1"/>
      <c r="E37" s="1" t="s">
        <v>43</v>
      </c>
      <c r="G37" s="2" t="s">
        <v>44</v>
      </c>
      <c r="I37" s="1"/>
      <c r="L37" s="19"/>
    </row>
    <row r="38" spans="1:17" x14ac:dyDescent="0.2">
      <c r="A38" s="1" t="s">
        <v>45</v>
      </c>
      <c r="B38" s="1"/>
      <c r="C38" s="1"/>
      <c r="D38" s="1"/>
      <c r="E38" s="1"/>
      <c r="G38" s="1" t="s">
        <v>46</v>
      </c>
      <c r="H38" s="1"/>
      <c r="J38" s="1"/>
      <c r="K38" s="1"/>
      <c r="L38" s="19"/>
    </row>
    <row r="39" spans="1:17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9"/>
    </row>
  </sheetData>
  <mergeCells count="2">
    <mergeCell ref="E6:H6"/>
    <mergeCell ref="B6:D6"/>
  </mergeCells>
  <phoneticPr fontId="0" type="noConversion"/>
  <pageMargins left="0.75" right="0.75" top="1" bottom="1" header="0.5" footer="0.5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"/>
  <sheetViews>
    <sheetView topLeftCell="B1" workbookViewId="0">
      <selection activeCell="I32" sqref="I32"/>
    </sheetView>
  </sheetViews>
  <sheetFormatPr defaultRowHeight="11.25" x14ac:dyDescent="0.2"/>
  <cols>
    <col min="1" max="1" width="42.1640625" bestFit="1" customWidth="1"/>
    <col min="2" max="4" width="13.1640625" customWidth="1"/>
    <col min="5" max="5" width="15.6640625" customWidth="1"/>
    <col min="6" max="7" width="13.1640625" customWidth="1"/>
    <col min="8" max="8" width="15.1640625" customWidth="1"/>
    <col min="9" max="15" width="13.1640625" customWidth="1"/>
  </cols>
  <sheetData>
    <row r="2" spans="1:15" ht="56.25" x14ac:dyDescent="0.2">
      <c r="D2" s="17" t="s">
        <v>50</v>
      </c>
      <c r="H2" s="17" t="s">
        <v>51</v>
      </c>
      <c r="M2" s="22" t="s">
        <v>52</v>
      </c>
    </row>
    <row r="3" spans="1:15" ht="12.75" x14ac:dyDescent="0.2">
      <c r="A3" s="82" t="s">
        <v>103</v>
      </c>
      <c r="B3" s="82" t="s">
        <v>104</v>
      </c>
      <c r="C3" s="82" t="s">
        <v>105</v>
      </c>
      <c r="D3" s="64" t="s">
        <v>99</v>
      </c>
      <c r="E3" s="82" t="s">
        <v>99</v>
      </c>
      <c r="F3" s="82" t="s">
        <v>106</v>
      </c>
      <c r="G3" s="82" t="s">
        <v>107</v>
      </c>
      <c r="H3" s="82" t="s">
        <v>100</v>
      </c>
      <c r="I3" s="82" t="s">
        <v>108</v>
      </c>
      <c r="J3" s="82" t="s">
        <v>109</v>
      </c>
      <c r="K3" s="82" t="s">
        <v>110</v>
      </c>
      <c r="L3" s="82" t="s">
        <v>111</v>
      </c>
      <c r="M3" s="82"/>
      <c r="N3" s="82" t="s">
        <v>112</v>
      </c>
      <c r="O3" s="82" t="s">
        <v>113</v>
      </c>
    </row>
    <row r="4" spans="1:15" s="2" customFormat="1" x14ac:dyDescent="0.2">
      <c r="A4" s="6"/>
      <c r="B4" s="64"/>
      <c r="C4" s="64"/>
      <c r="D4" s="84"/>
      <c r="E4" s="6"/>
      <c r="F4" s="18"/>
      <c r="G4" s="18"/>
      <c r="H4" s="18"/>
      <c r="I4" s="18"/>
      <c r="J4" s="18"/>
      <c r="K4" s="18"/>
      <c r="L4" s="18"/>
      <c r="M4" s="18"/>
      <c r="N4" s="18"/>
    </row>
    <row r="5" spans="1:15" x14ac:dyDescent="0.2">
      <c r="A5" s="83" t="s">
        <v>56</v>
      </c>
      <c r="B5" s="72">
        <v>2591325</v>
      </c>
      <c r="C5" s="72">
        <v>320081</v>
      </c>
      <c r="D5" s="72">
        <f>SUM(B5:C5)</f>
        <v>2911406</v>
      </c>
      <c r="E5" s="72">
        <f>2591325+320081</f>
        <v>2911406</v>
      </c>
      <c r="F5" s="72">
        <v>4376300</v>
      </c>
      <c r="G5" s="72">
        <v>8234386</v>
      </c>
      <c r="H5" s="72">
        <f>4376300+8234386</f>
        <v>12610686</v>
      </c>
      <c r="I5" s="72">
        <v>0</v>
      </c>
      <c r="J5" s="72">
        <v>0</v>
      </c>
      <c r="K5" s="72">
        <v>15522092</v>
      </c>
      <c r="L5" s="72">
        <v>199388</v>
      </c>
      <c r="M5" s="72">
        <f>SUM(K5:L5)</f>
        <v>15721480</v>
      </c>
      <c r="N5" s="72">
        <v>0</v>
      </c>
      <c r="O5" s="72">
        <v>0</v>
      </c>
    </row>
    <row r="6" spans="1:15" x14ac:dyDescent="0.2">
      <c r="A6" s="83" t="s">
        <v>57</v>
      </c>
      <c r="B6" s="72">
        <v>2925641</v>
      </c>
      <c r="C6" s="72">
        <v>224802</v>
      </c>
      <c r="D6" s="72">
        <f t="shared" ref="D6:D31" si="0">SUM(B6:C6)</f>
        <v>3150443</v>
      </c>
      <c r="E6" s="72">
        <f>2925641+224802</f>
        <v>3150443</v>
      </c>
      <c r="F6" s="72">
        <v>2498098</v>
      </c>
      <c r="G6" s="72">
        <v>2298626</v>
      </c>
      <c r="H6" s="72">
        <f>2498098+2298626</f>
        <v>4796724</v>
      </c>
      <c r="I6" s="72">
        <v>761791</v>
      </c>
      <c r="J6" s="72">
        <v>135961</v>
      </c>
      <c r="K6" s="72">
        <v>8844919</v>
      </c>
      <c r="L6" s="72">
        <v>117400</v>
      </c>
      <c r="M6" s="72">
        <f t="shared" ref="M6:M31" si="1">SUM(K6:L6)</f>
        <v>8962319</v>
      </c>
      <c r="N6" s="72">
        <v>460976</v>
      </c>
      <c r="O6" s="72" t="s">
        <v>15</v>
      </c>
    </row>
    <row r="7" spans="1:15" x14ac:dyDescent="0.2">
      <c r="A7" s="83" t="s">
        <v>58</v>
      </c>
      <c r="B7" s="72">
        <v>1206071</v>
      </c>
      <c r="C7" s="72">
        <v>761849</v>
      </c>
      <c r="D7" s="72">
        <f t="shared" si="0"/>
        <v>1967920</v>
      </c>
      <c r="E7" s="72">
        <f>1206071+761849</f>
        <v>1967920</v>
      </c>
      <c r="F7" s="72">
        <v>904457</v>
      </c>
      <c r="G7" s="72">
        <v>3258987</v>
      </c>
      <c r="H7" s="72">
        <f>904457+3258987</f>
        <v>4163444</v>
      </c>
      <c r="I7" s="72" t="s">
        <v>15</v>
      </c>
      <c r="J7" s="72">
        <v>232966</v>
      </c>
      <c r="K7" s="72">
        <v>6364330</v>
      </c>
      <c r="L7" s="72">
        <v>140736</v>
      </c>
      <c r="M7" s="72">
        <f t="shared" si="1"/>
        <v>6505066</v>
      </c>
      <c r="N7" s="72">
        <v>126701</v>
      </c>
      <c r="O7" s="72">
        <v>0</v>
      </c>
    </row>
    <row r="8" spans="1:15" x14ac:dyDescent="0.2">
      <c r="A8" s="83" t="s">
        <v>59</v>
      </c>
      <c r="B8" s="72">
        <v>5370123</v>
      </c>
      <c r="C8" s="72">
        <v>980313</v>
      </c>
      <c r="D8" s="72">
        <f t="shared" si="0"/>
        <v>6350436</v>
      </c>
      <c r="E8" s="72">
        <f>5370123+980313</f>
        <v>6350436</v>
      </c>
      <c r="F8" s="72">
        <v>2708477</v>
      </c>
      <c r="G8" s="72">
        <v>7167069</v>
      </c>
      <c r="H8" s="72">
        <f>2708477+7167069</f>
        <v>9875546</v>
      </c>
      <c r="I8" s="72">
        <v>0</v>
      </c>
      <c r="J8" s="72">
        <v>741146</v>
      </c>
      <c r="K8" s="72">
        <v>16967128</v>
      </c>
      <c r="L8" s="72">
        <v>145733</v>
      </c>
      <c r="M8" s="72">
        <f t="shared" si="1"/>
        <v>17112861</v>
      </c>
      <c r="N8" s="72" t="s">
        <v>15</v>
      </c>
      <c r="O8" s="72" t="s">
        <v>88</v>
      </c>
    </row>
    <row r="9" spans="1:15" x14ac:dyDescent="0.2">
      <c r="A9" s="83" t="s">
        <v>114</v>
      </c>
      <c r="B9" s="72">
        <v>2689893</v>
      </c>
      <c r="C9" s="72">
        <v>556193</v>
      </c>
      <c r="D9" s="72">
        <f t="shared" si="0"/>
        <v>3246086</v>
      </c>
      <c r="E9" s="72">
        <f>2689893+556193</f>
        <v>3246086</v>
      </c>
      <c r="F9" s="72">
        <v>2176920</v>
      </c>
      <c r="G9" s="72">
        <v>4516563</v>
      </c>
      <c r="H9" s="72">
        <f>2176920+4516563</f>
        <v>6693483</v>
      </c>
      <c r="I9" s="72">
        <v>1064648</v>
      </c>
      <c r="J9" s="72">
        <v>419328</v>
      </c>
      <c r="K9" s="72">
        <v>11423545</v>
      </c>
      <c r="L9" s="72">
        <v>108168</v>
      </c>
      <c r="M9" s="72">
        <f t="shared" si="1"/>
        <v>11531713</v>
      </c>
      <c r="N9" s="72" t="s">
        <v>15</v>
      </c>
      <c r="O9" s="72" t="s">
        <v>15</v>
      </c>
    </row>
    <row r="10" spans="1:15" x14ac:dyDescent="0.2">
      <c r="A10" s="83" t="s">
        <v>60</v>
      </c>
      <c r="B10" s="72">
        <v>1681689</v>
      </c>
      <c r="C10" s="72">
        <v>300978</v>
      </c>
      <c r="D10" s="72">
        <f t="shared" si="0"/>
        <v>1982667</v>
      </c>
      <c r="E10" s="72">
        <f>1681689+300978</f>
        <v>1982667</v>
      </c>
      <c r="F10" s="72">
        <v>2056924</v>
      </c>
      <c r="G10" s="72">
        <v>3098398</v>
      </c>
      <c r="H10" s="72">
        <f>2056924+3098398</f>
        <v>5155322</v>
      </c>
      <c r="I10" s="72">
        <v>375855</v>
      </c>
      <c r="J10" s="72">
        <v>346092</v>
      </c>
      <c r="K10" s="72">
        <v>7859936</v>
      </c>
      <c r="L10" s="72">
        <v>153562</v>
      </c>
      <c r="M10" s="72">
        <f t="shared" si="1"/>
        <v>8013498</v>
      </c>
      <c r="N10" s="72" t="s">
        <v>88</v>
      </c>
      <c r="O10" s="72" t="s">
        <v>88</v>
      </c>
    </row>
    <row r="11" spans="1:15" x14ac:dyDescent="0.2">
      <c r="A11" s="83" t="s">
        <v>61</v>
      </c>
      <c r="B11" s="72">
        <v>980826</v>
      </c>
      <c r="C11" s="72">
        <v>27051</v>
      </c>
      <c r="D11" s="72">
        <f t="shared" si="0"/>
        <v>1007877</v>
      </c>
      <c r="E11" s="72">
        <f>980826+27051</f>
        <v>1007877</v>
      </c>
      <c r="F11" s="72">
        <v>447041</v>
      </c>
      <c r="G11" s="72">
        <v>1470618</v>
      </c>
      <c r="H11" s="72">
        <f>447041+1470618</f>
        <v>1917659</v>
      </c>
      <c r="I11" s="72">
        <v>158896</v>
      </c>
      <c r="J11" s="72">
        <v>7093</v>
      </c>
      <c r="K11" s="72">
        <v>3091525</v>
      </c>
      <c r="L11" s="72">
        <v>3608</v>
      </c>
      <c r="M11" s="72">
        <f t="shared" si="1"/>
        <v>3095133</v>
      </c>
      <c r="N11" s="72">
        <v>7457</v>
      </c>
      <c r="O11" s="72" t="s">
        <v>88</v>
      </c>
    </row>
    <row r="12" spans="1:15" x14ac:dyDescent="0.2">
      <c r="A12" s="83" t="s">
        <v>62</v>
      </c>
      <c r="B12" s="72">
        <v>2530395</v>
      </c>
      <c r="C12" s="72">
        <v>19435</v>
      </c>
      <c r="D12" s="72">
        <f t="shared" si="0"/>
        <v>2549830</v>
      </c>
      <c r="E12" s="72">
        <f>2530395+19435</f>
        <v>2549830</v>
      </c>
      <c r="F12" s="72">
        <v>1721962</v>
      </c>
      <c r="G12" s="72">
        <v>4566908</v>
      </c>
      <c r="H12" s="72">
        <f>1721962+4566908</f>
        <v>6288870</v>
      </c>
      <c r="I12" s="72" t="s">
        <v>15</v>
      </c>
      <c r="J12" s="72">
        <v>189781</v>
      </c>
      <c r="K12" s="72">
        <v>9028481</v>
      </c>
      <c r="L12" s="72">
        <v>84068</v>
      </c>
      <c r="M12" s="72">
        <f t="shared" si="1"/>
        <v>9112549</v>
      </c>
      <c r="N12" s="72">
        <v>1677630</v>
      </c>
      <c r="O12" s="72">
        <v>0</v>
      </c>
    </row>
    <row r="13" spans="1:15" x14ac:dyDescent="0.2">
      <c r="A13" s="83" t="s">
        <v>63</v>
      </c>
      <c r="B13" s="72">
        <v>979761</v>
      </c>
      <c r="C13" s="72" t="s">
        <v>88</v>
      </c>
      <c r="D13" s="72">
        <f t="shared" si="0"/>
        <v>979761</v>
      </c>
      <c r="E13" s="72">
        <f>979761+0</f>
        <v>979761</v>
      </c>
      <c r="F13" s="72">
        <v>765354</v>
      </c>
      <c r="G13" s="72">
        <v>2626138</v>
      </c>
      <c r="H13" s="72">
        <f>765354+2626138</f>
        <v>3391492</v>
      </c>
      <c r="I13" s="72">
        <v>226820</v>
      </c>
      <c r="J13" s="72">
        <v>88787</v>
      </c>
      <c r="K13" s="72">
        <v>4686860</v>
      </c>
      <c r="L13" s="72">
        <v>112616</v>
      </c>
      <c r="M13" s="72">
        <f t="shared" si="1"/>
        <v>4799476</v>
      </c>
      <c r="N13" s="72" t="s">
        <v>88</v>
      </c>
      <c r="O13" s="72" t="s">
        <v>88</v>
      </c>
    </row>
    <row r="14" spans="1:15" x14ac:dyDescent="0.2">
      <c r="A14" s="83" t="s">
        <v>64</v>
      </c>
      <c r="B14" s="72">
        <v>1214493</v>
      </c>
      <c r="C14" s="72">
        <v>194803</v>
      </c>
      <c r="D14" s="72">
        <f t="shared" si="0"/>
        <v>1409296</v>
      </c>
      <c r="E14" s="72">
        <f>1214493+194803</f>
        <v>1409296</v>
      </c>
      <c r="F14" s="72">
        <v>346568</v>
      </c>
      <c r="G14" s="72">
        <v>3427390</v>
      </c>
      <c r="H14" s="72">
        <f>346568+3427390</f>
        <v>3773958</v>
      </c>
      <c r="I14" s="72">
        <v>175071</v>
      </c>
      <c r="J14" s="72">
        <v>501543</v>
      </c>
      <c r="K14" s="72">
        <v>5859868</v>
      </c>
      <c r="L14" s="72">
        <v>32153</v>
      </c>
      <c r="M14" s="72">
        <f t="shared" si="1"/>
        <v>5892021</v>
      </c>
      <c r="N14" s="72">
        <v>0</v>
      </c>
      <c r="O14" s="72">
        <v>0</v>
      </c>
    </row>
    <row r="15" spans="1:15" x14ac:dyDescent="0.2">
      <c r="A15" s="83" t="s">
        <v>65</v>
      </c>
      <c r="B15" s="72">
        <v>1120202</v>
      </c>
      <c r="C15" s="72">
        <v>443584</v>
      </c>
      <c r="D15" s="72">
        <f t="shared" si="0"/>
        <v>1563786</v>
      </c>
      <c r="E15" s="72">
        <f>1120202+443584</f>
        <v>1563786</v>
      </c>
      <c r="F15" s="72">
        <v>1213870</v>
      </c>
      <c r="G15" s="72">
        <v>4415501</v>
      </c>
      <c r="H15" s="72">
        <f>1213870+4415501</f>
        <v>5629371</v>
      </c>
      <c r="I15" s="72">
        <v>490593</v>
      </c>
      <c r="J15" s="72">
        <v>257958</v>
      </c>
      <c r="K15" s="72">
        <v>7941708</v>
      </c>
      <c r="L15" s="72">
        <v>145753</v>
      </c>
      <c r="M15" s="72">
        <f t="shared" si="1"/>
        <v>8087461</v>
      </c>
      <c r="N15" s="72">
        <v>0</v>
      </c>
      <c r="O15" s="72">
        <v>0</v>
      </c>
    </row>
    <row r="16" spans="1:15" x14ac:dyDescent="0.2">
      <c r="A16" s="83" t="s">
        <v>115</v>
      </c>
      <c r="B16" s="72">
        <v>2685792</v>
      </c>
      <c r="C16" s="72" t="s">
        <v>15</v>
      </c>
      <c r="D16" s="72">
        <f t="shared" si="0"/>
        <v>2685792</v>
      </c>
      <c r="E16" s="72">
        <f>2685792+0</f>
        <v>2685792</v>
      </c>
      <c r="F16" s="72">
        <v>1721904</v>
      </c>
      <c r="G16" s="72">
        <v>4199276</v>
      </c>
      <c r="H16" s="72">
        <f>1721904+4199276</f>
        <v>5921180</v>
      </c>
      <c r="I16" s="72" t="s">
        <v>15</v>
      </c>
      <c r="J16" s="72">
        <v>194110</v>
      </c>
      <c r="K16" s="72">
        <v>8801082</v>
      </c>
      <c r="L16" s="72">
        <v>112976</v>
      </c>
      <c r="M16" s="72">
        <f t="shared" si="1"/>
        <v>8914058</v>
      </c>
      <c r="N16" s="72">
        <v>0</v>
      </c>
      <c r="O16" s="72">
        <v>0</v>
      </c>
    </row>
    <row r="17" spans="1:15" x14ac:dyDescent="0.2">
      <c r="A17" s="83" t="s">
        <v>116</v>
      </c>
      <c r="B17" s="72">
        <v>1406799</v>
      </c>
      <c r="C17" s="72" t="s">
        <v>15</v>
      </c>
      <c r="D17" s="72">
        <f t="shared" si="0"/>
        <v>1406799</v>
      </c>
      <c r="E17" s="72">
        <f>1406799+0</f>
        <v>1406799</v>
      </c>
      <c r="F17" s="72">
        <v>1902383</v>
      </c>
      <c r="G17" s="72">
        <v>5207822</v>
      </c>
      <c r="H17" s="72">
        <f>1902383+5207822</f>
        <v>7110205</v>
      </c>
      <c r="I17" s="72">
        <v>134045</v>
      </c>
      <c r="J17" s="72">
        <v>514411</v>
      </c>
      <c r="K17" s="72">
        <v>9165460</v>
      </c>
      <c r="L17" s="72">
        <v>100334</v>
      </c>
      <c r="M17" s="72">
        <f t="shared" si="1"/>
        <v>9265794</v>
      </c>
      <c r="N17" s="72" t="s">
        <v>15</v>
      </c>
      <c r="O17" s="72" t="s">
        <v>15</v>
      </c>
    </row>
    <row r="18" spans="1:15" x14ac:dyDescent="0.2">
      <c r="A18" s="83" t="s">
        <v>66</v>
      </c>
      <c r="B18" s="72">
        <v>8522551</v>
      </c>
      <c r="C18" s="72">
        <v>869867</v>
      </c>
      <c r="D18" s="72">
        <f t="shared" si="0"/>
        <v>9392418</v>
      </c>
      <c r="E18" s="72">
        <f>8522551+869867</f>
        <v>9392418</v>
      </c>
      <c r="F18" s="72">
        <v>11641324</v>
      </c>
      <c r="G18" s="72">
        <v>3388564</v>
      </c>
      <c r="H18" s="72">
        <f>11641324+3388564</f>
        <v>15029888</v>
      </c>
      <c r="I18" s="72">
        <v>104867</v>
      </c>
      <c r="J18" s="72" t="s">
        <v>88</v>
      </c>
      <c r="K18" s="72">
        <v>23918320</v>
      </c>
      <c r="L18" s="72">
        <v>463590</v>
      </c>
      <c r="M18" s="72">
        <f t="shared" si="1"/>
        <v>24381910</v>
      </c>
      <c r="N18" s="72" t="s">
        <v>88</v>
      </c>
      <c r="O18" s="72" t="s">
        <v>88</v>
      </c>
    </row>
    <row r="19" spans="1:15" x14ac:dyDescent="0.2">
      <c r="A19" s="83" t="s">
        <v>67</v>
      </c>
      <c r="B19" s="72">
        <v>1246591</v>
      </c>
      <c r="C19" s="72">
        <v>19093</v>
      </c>
      <c r="D19" s="72">
        <f t="shared" si="0"/>
        <v>1265684</v>
      </c>
      <c r="E19" s="72">
        <f>1246591+19093</f>
        <v>1265684</v>
      </c>
      <c r="F19" s="72">
        <v>1202007</v>
      </c>
      <c r="G19" s="72">
        <v>4077983</v>
      </c>
      <c r="H19" s="72">
        <f>1202007+4077983</f>
        <v>5279990</v>
      </c>
      <c r="I19" s="72">
        <v>299449</v>
      </c>
      <c r="J19" s="72">
        <v>342392</v>
      </c>
      <c r="K19" s="72">
        <v>7187515</v>
      </c>
      <c r="L19" s="72">
        <v>73241</v>
      </c>
      <c r="M19" s="72">
        <f t="shared" si="1"/>
        <v>7260756</v>
      </c>
      <c r="N19" s="72">
        <v>76562</v>
      </c>
      <c r="O19" s="72" t="s">
        <v>88</v>
      </c>
    </row>
    <row r="20" spans="1:15" x14ac:dyDescent="0.2">
      <c r="A20" s="83" t="s">
        <v>68</v>
      </c>
      <c r="B20" s="72">
        <v>1889631</v>
      </c>
      <c r="C20" s="72">
        <v>63680</v>
      </c>
      <c r="D20" s="72">
        <f t="shared" si="0"/>
        <v>1953311</v>
      </c>
      <c r="E20" s="72">
        <f>1889631+63680</f>
        <v>1953311</v>
      </c>
      <c r="F20" s="72">
        <v>2321997</v>
      </c>
      <c r="G20" s="72">
        <v>6388901</v>
      </c>
      <c r="H20" s="72">
        <f>2321997+6388901</f>
        <v>8710898</v>
      </c>
      <c r="I20" s="72" t="s">
        <v>15</v>
      </c>
      <c r="J20" s="72">
        <v>4997</v>
      </c>
      <c r="K20" s="72">
        <v>10669206</v>
      </c>
      <c r="L20" s="72">
        <v>126424</v>
      </c>
      <c r="M20" s="72">
        <f t="shared" si="1"/>
        <v>10795630</v>
      </c>
      <c r="N20" s="72">
        <v>0</v>
      </c>
      <c r="O20" s="72" t="s">
        <v>88</v>
      </c>
    </row>
    <row r="21" spans="1:15" x14ac:dyDescent="0.2">
      <c r="A21" s="83" t="s">
        <v>117</v>
      </c>
      <c r="B21" s="72">
        <v>739397</v>
      </c>
      <c r="C21" s="72">
        <v>19631</v>
      </c>
      <c r="D21" s="72">
        <f t="shared" si="0"/>
        <v>759028</v>
      </c>
      <c r="E21" s="72">
        <f>739397+19631</f>
        <v>759028</v>
      </c>
      <c r="F21" s="72">
        <v>983832</v>
      </c>
      <c r="G21" s="72">
        <v>2611199</v>
      </c>
      <c r="H21" s="72">
        <f>983832+2611199</f>
        <v>3595031</v>
      </c>
      <c r="I21" s="72">
        <v>0</v>
      </c>
      <c r="J21" s="72">
        <v>63552</v>
      </c>
      <c r="K21" s="72">
        <v>4417611</v>
      </c>
      <c r="L21" s="72">
        <v>29598</v>
      </c>
      <c r="M21" s="72">
        <f t="shared" si="1"/>
        <v>4447209</v>
      </c>
      <c r="N21" s="72">
        <v>9870</v>
      </c>
      <c r="O21" s="72" t="s">
        <v>15</v>
      </c>
    </row>
    <row r="22" spans="1:15" x14ac:dyDescent="0.2">
      <c r="A22" s="83" t="s">
        <v>69</v>
      </c>
      <c r="B22" s="72">
        <v>2333659</v>
      </c>
      <c r="C22" s="72">
        <v>209594</v>
      </c>
      <c r="D22" s="72">
        <f t="shared" si="0"/>
        <v>2543253</v>
      </c>
      <c r="E22" s="72">
        <f>2333659+209594</f>
        <v>2543253</v>
      </c>
      <c r="F22" s="72">
        <v>2141840</v>
      </c>
      <c r="G22" s="72">
        <v>4902039</v>
      </c>
      <c r="H22" s="72">
        <f>2141840+4902039</f>
        <v>7043879</v>
      </c>
      <c r="I22" s="72">
        <v>163170</v>
      </c>
      <c r="J22" s="72" t="s">
        <v>88</v>
      </c>
      <c r="K22" s="72">
        <v>9750302</v>
      </c>
      <c r="L22" s="72">
        <v>158705</v>
      </c>
      <c r="M22" s="72">
        <f t="shared" si="1"/>
        <v>9909007</v>
      </c>
      <c r="N22" s="72" t="s">
        <v>88</v>
      </c>
      <c r="O22" s="72" t="s">
        <v>88</v>
      </c>
    </row>
    <row r="23" spans="1:15" x14ac:dyDescent="0.2">
      <c r="A23" s="83" t="s">
        <v>70</v>
      </c>
      <c r="B23" s="72">
        <v>990051</v>
      </c>
      <c r="C23" s="72">
        <v>46692</v>
      </c>
      <c r="D23" s="72">
        <f t="shared" si="0"/>
        <v>1036743</v>
      </c>
      <c r="E23" s="72">
        <f>990051+46692</f>
        <v>1036743</v>
      </c>
      <c r="F23" s="72">
        <v>764648</v>
      </c>
      <c r="G23" s="72">
        <v>2673853</v>
      </c>
      <c r="H23" s="72">
        <f>764648+2673853</f>
        <v>3438501</v>
      </c>
      <c r="I23" s="72">
        <v>33586</v>
      </c>
      <c r="J23" s="72">
        <v>8386</v>
      </c>
      <c r="K23" s="72">
        <v>4517216</v>
      </c>
      <c r="L23" s="72">
        <v>79690</v>
      </c>
      <c r="M23" s="72">
        <f t="shared" si="1"/>
        <v>4596906</v>
      </c>
      <c r="N23" s="72">
        <v>254491</v>
      </c>
      <c r="O23" s="72" t="s">
        <v>88</v>
      </c>
    </row>
    <row r="24" spans="1:15" x14ac:dyDescent="0.2">
      <c r="A24" s="83" t="s">
        <v>71</v>
      </c>
      <c r="B24" s="72">
        <v>2500058</v>
      </c>
      <c r="C24" s="72">
        <v>0</v>
      </c>
      <c r="D24" s="72">
        <f t="shared" si="0"/>
        <v>2500058</v>
      </c>
      <c r="E24" s="72">
        <f>2500058+0</f>
        <v>2500058</v>
      </c>
      <c r="F24" s="72">
        <v>2452443</v>
      </c>
      <c r="G24" s="72">
        <v>5027837</v>
      </c>
      <c r="H24" s="72">
        <f>2452443+5027837</f>
        <v>7480280</v>
      </c>
      <c r="I24" s="72">
        <v>104821</v>
      </c>
      <c r="J24" s="72">
        <v>0</v>
      </c>
      <c r="K24" s="72">
        <v>10085159</v>
      </c>
      <c r="L24" s="72">
        <v>54510</v>
      </c>
      <c r="M24" s="72">
        <f t="shared" si="1"/>
        <v>10139669</v>
      </c>
      <c r="N24" s="72">
        <v>200500</v>
      </c>
      <c r="O24" s="72">
        <v>0</v>
      </c>
    </row>
    <row r="25" spans="1:15" x14ac:dyDescent="0.2">
      <c r="A25" s="83" t="s">
        <v>72</v>
      </c>
      <c r="B25" s="72">
        <v>3475266</v>
      </c>
      <c r="C25" s="72">
        <v>657199</v>
      </c>
      <c r="D25" s="72">
        <f t="shared" si="0"/>
        <v>4132465</v>
      </c>
      <c r="E25" s="72">
        <f>3475266+657199</f>
        <v>4132465</v>
      </c>
      <c r="F25" s="72">
        <v>1978221</v>
      </c>
      <c r="G25" s="72">
        <v>5812182</v>
      </c>
      <c r="H25" s="72">
        <f>1978221+5812182</f>
        <v>7790403</v>
      </c>
      <c r="I25" s="72">
        <v>1439126</v>
      </c>
      <c r="J25" s="72">
        <v>69332</v>
      </c>
      <c r="K25" s="72">
        <v>13431326</v>
      </c>
      <c r="L25" s="72">
        <v>229981</v>
      </c>
      <c r="M25" s="72">
        <f t="shared" si="1"/>
        <v>13661307</v>
      </c>
      <c r="N25" s="72">
        <v>1113344</v>
      </c>
      <c r="O25" s="72">
        <v>0</v>
      </c>
    </row>
    <row r="26" spans="1:15" x14ac:dyDescent="0.2">
      <c r="A26" s="83" t="s">
        <v>96</v>
      </c>
      <c r="B26" s="72">
        <v>1782476</v>
      </c>
      <c r="C26" s="72">
        <v>30137</v>
      </c>
      <c r="D26" s="72">
        <f t="shared" si="0"/>
        <v>1812613</v>
      </c>
      <c r="E26" s="72">
        <f>1782476+30137</f>
        <v>1812613</v>
      </c>
      <c r="F26" s="72">
        <v>3509550</v>
      </c>
      <c r="G26" s="72">
        <v>4061724</v>
      </c>
      <c r="H26" s="72">
        <f>3509550+4061724</f>
        <v>7571274</v>
      </c>
      <c r="I26" s="72">
        <v>90933</v>
      </c>
      <c r="J26" s="72">
        <v>133661</v>
      </c>
      <c r="K26" s="72">
        <v>9608481</v>
      </c>
      <c r="L26" s="72">
        <v>203819</v>
      </c>
      <c r="M26" s="72">
        <f t="shared" si="1"/>
        <v>9812300</v>
      </c>
      <c r="N26" s="72">
        <v>889</v>
      </c>
      <c r="O26" s="72">
        <v>0</v>
      </c>
    </row>
    <row r="27" spans="1:15" x14ac:dyDescent="0.2">
      <c r="A27" s="83" t="s">
        <v>118</v>
      </c>
      <c r="B27" s="72">
        <v>1128119</v>
      </c>
      <c r="C27" s="72" t="s">
        <v>88</v>
      </c>
      <c r="D27" s="72">
        <f t="shared" si="0"/>
        <v>1128119</v>
      </c>
      <c r="E27" s="72">
        <f>1128119+0</f>
        <v>1128119</v>
      </c>
      <c r="F27" s="72">
        <v>789144</v>
      </c>
      <c r="G27" s="72">
        <v>1649325</v>
      </c>
      <c r="H27" s="72">
        <f>789144+1649325</f>
        <v>2438469</v>
      </c>
      <c r="I27" s="72">
        <v>63895</v>
      </c>
      <c r="J27" s="72">
        <v>6583</v>
      </c>
      <c r="K27" s="72">
        <v>3637066</v>
      </c>
      <c r="L27" s="72">
        <v>74360</v>
      </c>
      <c r="M27" s="72">
        <f t="shared" si="1"/>
        <v>3711426</v>
      </c>
      <c r="N27" s="72">
        <v>359534</v>
      </c>
      <c r="O27" s="72" t="s">
        <v>15</v>
      </c>
    </row>
    <row r="28" spans="1:15" x14ac:dyDescent="0.2">
      <c r="A28" s="83" t="s">
        <v>119</v>
      </c>
      <c r="B28" s="72">
        <v>556928</v>
      </c>
      <c r="C28" s="72" t="s">
        <v>88</v>
      </c>
      <c r="D28" s="72">
        <f t="shared" si="0"/>
        <v>556928</v>
      </c>
      <c r="E28" s="72">
        <f>556928+0</f>
        <v>556928</v>
      </c>
      <c r="F28" s="72">
        <v>2538183</v>
      </c>
      <c r="G28" s="72" t="s">
        <v>88</v>
      </c>
      <c r="H28" s="72">
        <f>2538183+0</f>
        <v>2538183</v>
      </c>
      <c r="I28" s="72">
        <v>764952</v>
      </c>
      <c r="J28" s="72">
        <v>265346</v>
      </c>
      <c r="K28" s="72">
        <v>4125409</v>
      </c>
      <c r="L28" s="72">
        <v>38839</v>
      </c>
      <c r="M28" s="72">
        <f t="shared" si="1"/>
        <v>4164248</v>
      </c>
      <c r="N28" s="72">
        <v>109605</v>
      </c>
      <c r="O28" s="72" t="s">
        <v>15</v>
      </c>
    </row>
    <row r="29" spans="1:15" x14ac:dyDescent="0.2">
      <c r="A29" s="83" t="s">
        <v>73</v>
      </c>
      <c r="B29" s="72">
        <v>598948</v>
      </c>
      <c r="C29" s="72">
        <v>50727</v>
      </c>
      <c r="D29" s="72">
        <f t="shared" si="0"/>
        <v>649675</v>
      </c>
      <c r="E29" s="72">
        <f>598948+50727</f>
        <v>649675</v>
      </c>
      <c r="F29" s="72">
        <v>1386038</v>
      </c>
      <c r="G29" s="72">
        <v>3741615</v>
      </c>
      <c r="H29" s="72">
        <f>1386038+3741615</f>
        <v>5127653</v>
      </c>
      <c r="I29" s="72">
        <v>0</v>
      </c>
      <c r="J29" s="72">
        <v>111552</v>
      </c>
      <c r="K29" s="72">
        <v>5664721</v>
      </c>
      <c r="L29" s="72">
        <v>41710</v>
      </c>
      <c r="M29" s="72">
        <f t="shared" si="1"/>
        <v>5706431</v>
      </c>
      <c r="N29" s="72">
        <v>12183</v>
      </c>
      <c r="O29" s="72">
        <v>0</v>
      </c>
    </row>
    <row r="30" spans="1:15" x14ac:dyDescent="0.2">
      <c r="A30" s="83" t="s">
        <v>74</v>
      </c>
      <c r="B30" s="72">
        <v>1581155</v>
      </c>
      <c r="C30" s="72">
        <v>98549</v>
      </c>
      <c r="D30" s="72">
        <f t="shared" si="0"/>
        <v>1679704</v>
      </c>
      <c r="E30" s="72">
        <f>1581155+98549</f>
        <v>1679704</v>
      </c>
      <c r="F30" s="72">
        <v>1437581</v>
      </c>
      <c r="G30" s="72">
        <v>3134302</v>
      </c>
      <c r="H30" s="72">
        <f>1437581+3134302</f>
        <v>4571883</v>
      </c>
      <c r="I30" s="72">
        <v>12087</v>
      </c>
      <c r="J30" s="72">
        <v>41900</v>
      </c>
      <c r="K30" s="72">
        <v>6305574</v>
      </c>
      <c r="L30" s="72">
        <v>89115</v>
      </c>
      <c r="M30" s="72">
        <f t="shared" si="1"/>
        <v>6394689</v>
      </c>
      <c r="N30" s="72">
        <v>0</v>
      </c>
      <c r="O30" s="72">
        <v>0</v>
      </c>
    </row>
    <row r="31" spans="1:15" x14ac:dyDescent="0.2">
      <c r="A31" s="83" t="s">
        <v>120</v>
      </c>
      <c r="B31" s="72">
        <v>439683</v>
      </c>
      <c r="C31" s="72">
        <v>37612</v>
      </c>
      <c r="D31" s="72">
        <f t="shared" si="0"/>
        <v>477295</v>
      </c>
      <c r="E31" s="72">
        <f>439683+37612</f>
        <v>477295</v>
      </c>
      <c r="F31" s="72">
        <v>597604</v>
      </c>
      <c r="G31" s="72">
        <v>949694</v>
      </c>
      <c r="H31" s="72">
        <f>597604+949694</f>
        <v>1547298</v>
      </c>
      <c r="I31" s="72">
        <v>585331</v>
      </c>
      <c r="J31" s="72">
        <v>252161</v>
      </c>
      <c r="K31" s="72">
        <v>2862085</v>
      </c>
      <c r="L31" s="72">
        <v>48737</v>
      </c>
      <c r="M31" s="72">
        <f t="shared" si="1"/>
        <v>2910822</v>
      </c>
      <c r="N31" s="72" t="s">
        <v>88</v>
      </c>
      <c r="O31" s="72" t="s">
        <v>88</v>
      </c>
    </row>
    <row r="32" spans="1:15" x14ac:dyDescent="0.2">
      <c r="B32" s="85">
        <f>SUM(B5:B31)</f>
        <v>55167523</v>
      </c>
      <c r="C32" s="85">
        <f>SUM(C5:C31)</f>
        <v>5931870</v>
      </c>
      <c r="D32" s="85">
        <f>SUM(B32:C32)</f>
        <v>61099393</v>
      </c>
      <c r="E32" s="85">
        <f>SUM(E5:E31)</f>
        <v>61099393</v>
      </c>
      <c r="F32" s="85">
        <f>SUM(F5:F31)</f>
        <v>56584670</v>
      </c>
      <c r="G32" s="85">
        <f>SUM(G5:G31)</f>
        <v>102906900</v>
      </c>
      <c r="H32" s="85">
        <f>SUM(H5:H31)</f>
        <v>159491570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abSelected="1" workbookViewId="0">
      <selection activeCell="G48" sqref="G48"/>
    </sheetView>
  </sheetViews>
  <sheetFormatPr defaultColWidth="9.1640625" defaultRowHeight="12.75" x14ac:dyDescent="0.2"/>
  <cols>
    <col min="1" max="1" width="44.33203125" style="87" customWidth="1"/>
    <col min="2" max="2" width="20.83203125" style="87" customWidth="1"/>
    <col min="3" max="3" width="2" style="87" customWidth="1"/>
    <col min="4" max="4" width="20.83203125" style="87" customWidth="1"/>
    <col min="5" max="5" width="21.33203125" style="87" customWidth="1"/>
    <col min="6" max="7" width="20.83203125" style="87" customWidth="1"/>
    <col min="8" max="8" width="1.5" style="87" customWidth="1"/>
    <col min="9" max="9" width="20.83203125" style="87" customWidth="1"/>
    <col min="10" max="10" width="21" style="87" customWidth="1"/>
    <col min="11" max="11" width="2.6640625" style="87" customWidth="1"/>
    <col min="12" max="14" width="16.83203125" style="87" customWidth="1"/>
    <col min="15" max="15" width="17.1640625" style="87" customWidth="1"/>
    <col min="16" max="16" width="13.6640625" style="87" customWidth="1"/>
    <col min="17" max="17" width="15.83203125" style="87" bestFit="1" customWidth="1"/>
    <col min="18" max="16384" width="9.1640625" style="87"/>
  </cols>
  <sheetData>
    <row r="1" spans="1:17" ht="15" customHeight="1" x14ac:dyDescent="0.2"/>
    <row r="2" spans="1:17" ht="32.1" customHeight="1" x14ac:dyDescent="0.2"/>
    <row r="3" spans="1:17" s="100" customFormat="1" ht="23.25" customHeight="1" x14ac:dyDescent="0.35">
      <c r="A3" s="99" t="s">
        <v>142</v>
      </c>
    </row>
    <row r="4" spans="1:17" s="100" customFormat="1" ht="23.25" customHeight="1" x14ac:dyDescent="0.35">
      <c r="A4" s="101" t="s">
        <v>143</v>
      </c>
    </row>
    <row r="5" spans="1:17" s="100" customFormat="1" ht="15" customHeight="1" x14ac:dyDescent="0.35">
      <c r="A5" s="101"/>
    </row>
    <row r="6" spans="1:17" ht="15" customHeight="1" x14ac:dyDescent="0.2">
      <c r="A6" s="93"/>
      <c r="B6" s="122"/>
      <c r="C6" s="118"/>
      <c r="D6" s="102"/>
      <c r="E6" s="102"/>
      <c r="F6" s="102"/>
      <c r="G6" s="102"/>
      <c r="H6" s="118"/>
      <c r="L6" s="102" t="s">
        <v>128</v>
      </c>
      <c r="M6" s="102"/>
      <c r="N6" s="102"/>
    </row>
    <row r="7" spans="1:17" ht="15" customHeight="1" x14ac:dyDescent="0.2">
      <c r="B7" s="122"/>
      <c r="C7" s="118"/>
      <c r="D7" s="123" t="s">
        <v>127</v>
      </c>
      <c r="E7" s="123"/>
      <c r="F7" s="123"/>
      <c r="G7" s="123"/>
      <c r="H7" s="108"/>
      <c r="I7" s="112"/>
      <c r="J7" s="113"/>
      <c r="K7" s="113"/>
      <c r="L7" s="123" t="s">
        <v>132</v>
      </c>
      <c r="M7" s="123"/>
      <c r="N7" s="123"/>
    </row>
    <row r="8" spans="1:17" s="111" customFormat="1" ht="55.5" customHeight="1" x14ac:dyDescent="0.2">
      <c r="A8" s="110"/>
      <c r="B8" s="107" t="s">
        <v>137</v>
      </c>
      <c r="C8" s="119"/>
      <c r="D8" s="106" t="s">
        <v>140</v>
      </c>
      <c r="E8" s="106" t="s">
        <v>141</v>
      </c>
      <c r="F8" s="106" t="s">
        <v>138</v>
      </c>
      <c r="G8" s="106" t="s">
        <v>139</v>
      </c>
      <c r="H8" s="119"/>
      <c r="I8" s="115" t="s">
        <v>133</v>
      </c>
      <c r="J8" s="107" t="s">
        <v>134</v>
      </c>
      <c r="K8" s="119"/>
      <c r="L8" s="109" t="s">
        <v>131</v>
      </c>
      <c r="M8" s="109" t="s">
        <v>130</v>
      </c>
      <c r="N8" s="109" t="s">
        <v>129</v>
      </c>
    </row>
    <row r="9" spans="1:17" ht="15" customHeight="1" x14ac:dyDescent="0.2">
      <c r="A9" s="90" t="s">
        <v>122</v>
      </c>
      <c r="B9" s="124">
        <v>3093179</v>
      </c>
      <c r="C9" s="89"/>
      <c r="D9" s="89">
        <v>3186955</v>
      </c>
      <c r="E9" s="89">
        <v>699270</v>
      </c>
      <c r="F9" s="89">
        <f>SUM(D9:E9)</f>
        <v>3886225</v>
      </c>
      <c r="G9" s="89">
        <v>792753</v>
      </c>
      <c r="H9" s="89"/>
      <c r="I9" s="89">
        <v>374672</v>
      </c>
      <c r="J9" s="124">
        <v>8146829</v>
      </c>
      <c r="K9" s="89"/>
      <c r="L9" s="125">
        <v>0.37967889101391472</v>
      </c>
      <c r="M9" s="125">
        <v>0.57433119070008709</v>
      </c>
      <c r="N9" s="125">
        <v>4.5989918285998146E-2</v>
      </c>
      <c r="O9" s="91"/>
      <c r="P9" s="86"/>
      <c r="Q9" s="92"/>
    </row>
    <row r="10" spans="1:17" ht="15" customHeight="1" x14ac:dyDescent="0.2">
      <c r="A10" s="90" t="s">
        <v>63</v>
      </c>
      <c r="B10" s="124">
        <v>5500255</v>
      </c>
      <c r="C10" s="89"/>
      <c r="D10" s="89">
        <v>3362747</v>
      </c>
      <c r="E10" s="89">
        <v>5745305</v>
      </c>
      <c r="F10" s="89">
        <f t="shared" ref="F10:F37" si="0">SUM(D10:E10)</f>
        <v>9108052</v>
      </c>
      <c r="G10" s="89">
        <v>1543212</v>
      </c>
      <c r="H10" s="89"/>
      <c r="I10" s="89">
        <v>771348</v>
      </c>
      <c r="J10" s="124">
        <v>16922867</v>
      </c>
      <c r="K10" s="89"/>
      <c r="L10" s="125">
        <v>0.32501909989601646</v>
      </c>
      <c r="M10" s="125">
        <v>0.62940068015661887</v>
      </c>
      <c r="N10" s="125">
        <v>4.5580219947364713E-2</v>
      </c>
      <c r="O10" s="91"/>
      <c r="P10" s="86"/>
      <c r="Q10" s="92"/>
    </row>
    <row r="11" spans="1:17" ht="15" customHeight="1" x14ac:dyDescent="0.2">
      <c r="A11" s="116" t="s">
        <v>70</v>
      </c>
      <c r="B11" s="126">
        <v>5971119</v>
      </c>
      <c r="C11" s="117"/>
      <c r="D11" s="117">
        <v>3640959</v>
      </c>
      <c r="E11" s="117">
        <v>4213263</v>
      </c>
      <c r="F11" s="117">
        <f t="shared" si="0"/>
        <v>7854222</v>
      </c>
      <c r="G11" s="117">
        <v>2025460</v>
      </c>
      <c r="H11" s="117"/>
      <c r="I11" s="117">
        <v>960000</v>
      </c>
      <c r="J11" s="126">
        <v>16810801</v>
      </c>
      <c r="K11" s="117"/>
      <c r="L11" s="127">
        <v>0.35519538896451158</v>
      </c>
      <c r="M11" s="127">
        <v>0.58769846838351125</v>
      </c>
      <c r="N11" s="127">
        <v>5.7106142651977145E-2</v>
      </c>
      <c r="O11" s="91"/>
      <c r="P11" s="86"/>
      <c r="Q11" s="92"/>
    </row>
    <row r="12" spans="1:17" ht="15" customHeight="1" x14ac:dyDescent="0.2">
      <c r="A12" s="128" t="s">
        <v>73</v>
      </c>
      <c r="B12" s="129">
        <v>8082154</v>
      </c>
      <c r="C12" s="130"/>
      <c r="D12" s="130">
        <v>3095563</v>
      </c>
      <c r="E12" s="130">
        <v>4337267</v>
      </c>
      <c r="F12" s="130">
        <f t="shared" si="0"/>
        <v>7432830</v>
      </c>
      <c r="G12" s="130">
        <v>1438579</v>
      </c>
      <c r="H12" s="130"/>
      <c r="I12" s="130">
        <v>1313349</v>
      </c>
      <c r="J12" s="129">
        <v>18266912</v>
      </c>
      <c r="K12" s="130"/>
      <c r="L12" s="131">
        <v>0.44244774376752899</v>
      </c>
      <c r="M12" s="131">
        <v>0.48565455398263263</v>
      </c>
      <c r="N12" s="131">
        <v>7.1897702249838394E-2</v>
      </c>
      <c r="O12" s="91"/>
      <c r="P12" s="86"/>
      <c r="Q12" s="92"/>
    </row>
    <row r="13" spans="1:17" ht="15" customHeight="1" x14ac:dyDescent="0.2">
      <c r="A13" s="90" t="s">
        <v>72</v>
      </c>
      <c r="B13" s="124">
        <v>18851349</v>
      </c>
      <c r="C13" s="89"/>
      <c r="D13" s="89">
        <v>5733087</v>
      </c>
      <c r="E13" s="89">
        <v>5988189</v>
      </c>
      <c r="F13" s="89">
        <f t="shared" si="0"/>
        <v>11721276</v>
      </c>
      <c r="G13" s="89">
        <v>1931647</v>
      </c>
      <c r="H13" s="89"/>
      <c r="I13" s="89">
        <v>1605226</v>
      </c>
      <c r="J13" s="124">
        <v>34109498</v>
      </c>
      <c r="K13" s="89"/>
      <c r="L13" s="125">
        <v>0.55267154620686587</v>
      </c>
      <c r="M13" s="125">
        <v>0.40026748561353792</v>
      </c>
      <c r="N13" s="125">
        <v>4.7060968179596194E-2</v>
      </c>
      <c r="O13" s="91"/>
      <c r="P13" s="86"/>
      <c r="Q13" s="92"/>
    </row>
    <row r="14" spans="1:17" ht="15" customHeight="1" x14ac:dyDescent="0.2">
      <c r="A14" s="116" t="s">
        <v>65</v>
      </c>
      <c r="B14" s="126">
        <v>10425242</v>
      </c>
      <c r="C14" s="117"/>
      <c r="D14" s="117">
        <v>3756523</v>
      </c>
      <c r="E14" s="117">
        <v>3888100</v>
      </c>
      <c r="F14" s="117">
        <f t="shared" si="0"/>
        <v>7644623</v>
      </c>
      <c r="G14" s="117">
        <v>2112259</v>
      </c>
      <c r="H14" s="117"/>
      <c r="I14" s="117">
        <v>1523798</v>
      </c>
      <c r="J14" s="126">
        <v>21705922</v>
      </c>
      <c r="K14" s="117"/>
      <c r="L14" s="127">
        <v>0.48029482461053719</v>
      </c>
      <c r="M14" s="127">
        <v>0.4495032277366518</v>
      </c>
      <c r="N14" s="127">
        <v>7.0201947652811056E-2</v>
      </c>
      <c r="O14" s="91"/>
      <c r="P14" s="86"/>
      <c r="Q14" s="92"/>
    </row>
    <row r="15" spans="1:17" ht="15" customHeight="1" x14ac:dyDescent="0.2">
      <c r="A15" s="128" t="s">
        <v>74</v>
      </c>
      <c r="B15" s="129">
        <v>9351174</v>
      </c>
      <c r="C15" s="130"/>
      <c r="D15" s="130">
        <v>3969416</v>
      </c>
      <c r="E15" s="130">
        <v>5714926</v>
      </c>
      <c r="F15" s="130">
        <f t="shared" si="0"/>
        <v>9684342</v>
      </c>
      <c r="G15" s="130">
        <v>1764678</v>
      </c>
      <c r="H15" s="130"/>
      <c r="I15" s="130">
        <v>1686567</v>
      </c>
      <c r="J15" s="129">
        <v>22486761</v>
      </c>
      <c r="K15" s="130"/>
      <c r="L15" s="131">
        <v>0.41585242089778957</v>
      </c>
      <c r="M15" s="131">
        <v>0.50914491420084906</v>
      </c>
      <c r="N15" s="131">
        <v>7.5002664901361288E-2</v>
      </c>
      <c r="O15" s="91"/>
      <c r="P15" s="86"/>
      <c r="Q15" s="92"/>
    </row>
    <row r="16" spans="1:17" ht="15" customHeight="1" x14ac:dyDescent="0.2">
      <c r="A16" s="90" t="s">
        <v>121</v>
      </c>
      <c r="B16" s="124">
        <v>9828515</v>
      </c>
      <c r="C16" s="89"/>
      <c r="D16" s="89">
        <v>4273273</v>
      </c>
      <c r="E16" s="89">
        <v>3779035</v>
      </c>
      <c r="F16" s="89">
        <f t="shared" si="0"/>
        <v>8052308</v>
      </c>
      <c r="G16" s="89">
        <v>1895432</v>
      </c>
      <c r="H16" s="89"/>
      <c r="I16" s="89">
        <v>1211600</v>
      </c>
      <c r="J16" s="124">
        <v>20987855</v>
      </c>
      <c r="K16" s="89"/>
      <c r="L16" s="125">
        <v>0.46829535462294741</v>
      </c>
      <c r="M16" s="125">
        <v>0.47397602089398844</v>
      </c>
      <c r="N16" s="125">
        <v>5.7728624483064137E-2</v>
      </c>
      <c r="O16" s="91"/>
      <c r="P16" s="86"/>
      <c r="Q16" s="92"/>
    </row>
    <row r="17" spans="1:17" ht="15" customHeight="1" x14ac:dyDescent="0.2">
      <c r="A17" s="116" t="s">
        <v>123</v>
      </c>
      <c r="B17" s="126">
        <v>4653291</v>
      </c>
      <c r="C17" s="117"/>
      <c r="D17" s="117">
        <v>6519288</v>
      </c>
      <c r="E17" s="117">
        <v>179514</v>
      </c>
      <c r="F17" s="117">
        <f t="shared" si="0"/>
        <v>6698802</v>
      </c>
      <c r="G17" s="117">
        <v>1643002</v>
      </c>
      <c r="H17" s="117"/>
      <c r="I17" s="117">
        <v>670231</v>
      </c>
      <c r="J17" s="126">
        <v>13665326</v>
      </c>
      <c r="K17" s="117"/>
      <c r="L17" s="127">
        <v>0.34051811131326104</v>
      </c>
      <c r="M17" s="127">
        <v>0.61043578470063575</v>
      </c>
      <c r="N17" s="127">
        <v>4.9046103986103221E-2</v>
      </c>
      <c r="O17" s="91"/>
      <c r="P17" s="86"/>
      <c r="Q17" s="92"/>
    </row>
    <row r="18" spans="1:17" ht="15" customHeight="1" x14ac:dyDescent="0.2">
      <c r="A18" s="128" t="s">
        <v>57</v>
      </c>
      <c r="B18" s="129">
        <v>9716127</v>
      </c>
      <c r="C18" s="130"/>
      <c r="D18" s="130">
        <v>5694110</v>
      </c>
      <c r="E18" s="130">
        <v>3617651</v>
      </c>
      <c r="F18" s="130">
        <f t="shared" si="0"/>
        <v>9311761</v>
      </c>
      <c r="G18" s="130">
        <v>2174500</v>
      </c>
      <c r="H18" s="130"/>
      <c r="I18" s="130">
        <v>1941765</v>
      </c>
      <c r="J18" s="129">
        <v>23144153</v>
      </c>
      <c r="K18" s="130"/>
      <c r="L18" s="131">
        <v>0.41980914142764264</v>
      </c>
      <c r="M18" s="131">
        <v>0.49629213045731246</v>
      </c>
      <c r="N18" s="131">
        <v>8.3898728115044868E-2</v>
      </c>
      <c r="O18" s="91"/>
      <c r="P18" s="86"/>
      <c r="Q18" s="92"/>
    </row>
    <row r="19" spans="1:17" ht="15" customHeight="1" x14ac:dyDescent="0.2">
      <c r="A19" s="90" t="s">
        <v>96</v>
      </c>
      <c r="B19" s="124">
        <v>10264944</v>
      </c>
      <c r="C19" s="89"/>
      <c r="D19" s="89">
        <v>7536953</v>
      </c>
      <c r="E19" s="89">
        <v>8481563</v>
      </c>
      <c r="F19" s="89">
        <f t="shared" si="0"/>
        <v>16018516</v>
      </c>
      <c r="G19" s="89">
        <v>4428957</v>
      </c>
      <c r="H19" s="89"/>
      <c r="I19" s="89">
        <v>1376543</v>
      </c>
      <c r="J19" s="124">
        <v>32088960</v>
      </c>
      <c r="K19" s="89"/>
      <c r="L19" s="125">
        <v>0.3198902052294621</v>
      </c>
      <c r="M19" s="125">
        <v>0.63721208166297694</v>
      </c>
      <c r="N19" s="125">
        <v>4.2897713107560978E-2</v>
      </c>
      <c r="O19" s="91"/>
      <c r="P19" s="86"/>
      <c r="Q19" s="92"/>
    </row>
    <row r="20" spans="1:17" ht="15" customHeight="1" x14ac:dyDescent="0.2">
      <c r="A20" s="116" t="s">
        <v>119</v>
      </c>
      <c r="B20" s="126">
        <v>5431682</v>
      </c>
      <c r="C20" s="117"/>
      <c r="D20" s="117">
        <v>2124065</v>
      </c>
      <c r="E20" s="117">
        <v>2451727</v>
      </c>
      <c r="F20" s="117">
        <f t="shared" si="0"/>
        <v>4575792</v>
      </c>
      <c r="G20" s="117">
        <v>1010606</v>
      </c>
      <c r="H20" s="117"/>
      <c r="I20" s="117">
        <v>347807</v>
      </c>
      <c r="J20" s="126">
        <v>11365887</v>
      </c>
      <c r="K20" s="117"/>
      <c r="L20" s="127">
        <v>0.47789336635143392</v>
      </c>
      <c r="M20" s="127">
        <v>0.49150567835136844</v>
      </c>
      <c r="N20" s="127">
        <v>3.0600955297197658E-2</v>
      </c>
      <c r="O20" s="91"/>
      <c r="P20" s="86"/>
      <c r="Q20" s="92"/>
    </row>
    <row r="21" spans="1:17" ht="15" customHeight="1" x14ac:dyDescent="0.2">
      <c r="A21" s="128" t="s">
        <v>124</v>
      </c>
      <c r="B21" s="129">
        <v>15165566</v>
      </c>
      <c r="C21" s="130"/>
      <c r="D21" s="130">
        <v>4883326</v>
      </c>
      <c r="E21" s="130">
        <v>5744648</v>
      </c>
      <c r="F21" s="130">
        <f t="shared" si="0"/>
        <v>10627974</v>
      </c>
      <c r="G21" s="130">
        <v>2600717</v>
      </c>
      <c r="H21" s="130"/>
      <c r="I21" s="130">
        <v>2424694</v>
      </c>
      <c r="J21" s="129">
        <v>30818951</v>
      </c>
      <c r="K21" s="130"/>
      <c r="L21" s="131">
        <v>0.49208572997828509</v>
      </c>
      <c r="M21" s="131">
        <v>0.4292388472274738</v>
      </c>
      <c r="N21" s="131">
        <v>7.8675422794241112E-2</v>
      </c>
      <c r="O21" s="91"/>
      <c r="P21" s="86"/>
      <c r="Q21" s="92"/>
    </row>
    <row r="22" spans="1:17" ht="15" customHeight="1" x14ac:dyDescent="0.2">
      <c r="A22" s="90" t="s">
        <v>118</v>
      </c>
      <c r="B22" s="124">
        <v>5182306</v>
      </c>
      <c r="C22" s="89"/>
      <c r="D22" s="89">
        <v>4308712</v>
      </c>
      <c r="E22" s="89">
        <v>5189583</v>
      </c>
      <c r="F22" s="89">
        <f t="shared" si="0"/>
        <v>9498295</v>
      </c>
      <c r="G22" s="89">
        <v>2022645</v>
      </c>
      <c r="H22" s="89"/>
      <c r="I22" s="89">
        <v>970823</v>
      </c>
      <c r="J22" s="124">
        <v>17674069</v>
      </c>
      <c r="K22" s="89"/>
      <c r="L22" s="125">
        <v>0.29321521829523239</v>
      </c>
      <c r="M22" s="125">
        <v>0.65185555176909182</v>
      </c>
      <c r="N22" s="125">
        <v>5.4929229935675818E-2</v>
      </c>
      <c r="O22" s="91"/>
      <c r="P22" s="86"/>
      <c r="Q22" s="92"/>
    </row>
    <row r="23" spans="1:17" ht="15" customHeight="1" x14ac:dyDescent="0.2">
      <c r="A23" s="116" t="s">
        <v>71</v>
      </c>
      <c r="B23" s="126">
        <v>12633669</v>
      </c>
      <c r="C23" s="117"/>
      <c r="D23" s="117">
        <v>4985855</v>
      </c>
      <c r="E23" s="117">
        <v>6638982</v>
      </c>
      <c r="F23" s="117">
        <f t="shared" si="0"/>
        <v>11624837</v>
      </c>
      <c r="G23" s="117">
        <v>2824743</v>
      </c>
      <c r="H23" s="117"/>
      <c r="I23" s="117">
        <v>1080010</v>
      </c>
      <c r="J23" s="126">
        <v>28163259</v>
      </c>
      <c r="K23" s="117"/>
      <c r="L23" s="127">
        <v>0.4485868982705446</v>
      </c>
      <c r="M23" s="127">
        <v>0.51306491198337523</v>
      </c>
      <c r="N23" s="127">
        <v>3.8348189746080168E-2</v>
      </c>
      <c r="O23" s="91"/>
      <c r="P23" s="86"/>
      <c r="Q23" s="92"/>
    </row>
    <row r="24" spans="1:17" ht="15" customHeight="1" x14ac:dyDescent="0.2">
      <c r="A24" s="128" t="s">
        <v>59</v>
      </c>
      <c r="B24" s="129">
        <v>21528257</v>
      </c>
      <c r="C24" s="130"/>
      <c r="D24" s="130">
        <v>7437149</v>
      </c>
      <c r="E24" s="130">
        <v>7509705</v>
      </c>
      <c r="F24" s="130">
        <f t="shared" si="0"/>
        <v>14946854</v>
      </c>
      <c r="G24" s="130">
        <v>3324423</v>
      </c>
      <c r="H24" s="130"/>
      <c r="I24" s="130">
        <v>4520258</v>
      </c>
      <c r="J24" s="129">
        <v>44319792</v>
      </c>
      <c r="K24" s="130"/>
      <c r="L24" s="131">
        <v>0.48574815062308957</v>
      </c>
      <c r="M24" s="131">
        <v>0.41225998984832779</v>
      </c>
      <c r="N24" s="131">
        <v>0.10199185952858263</v>
      </c>
      <c r="O24" s="91"/>
      <c r="P24" s="86"/>
      <c r="Q24" s="92"/>
    </row>
    <row r="25" spans="1:17" ht="15" customHeight="1" x14ac:dyDescent="0.2">
      <c r="A25" s="90" t="s">
        <v>56</v>
      </c>
      <c r="B25" s="124">
        <v>18125903</v>
      </c>
      <c r="C25" s="89"/>
      <c r="D25" s="89">
        <v>10658544</v>
      </c>
      <c r="E25" s="89">
        <v>7608215</v>
      </c>
      <c r="F25" s="89">
        <f t="shared" si="0"/>
        <v>18266759</v>
      </c>
      <c r="G25" s="89">
        <v>3312195</v>
      </c>
      <c r="H25" s="89"/>
      <c r="I25" s="89">
        <v>4549368</v>
      </c>
      <c r="J25" s="124">
        <v>44254225</v>
      </c>
      <c r="K25" s="89"/>
      <c r="L25" s="125">
        <v>0.40958581920709264</v>
      </c>
      <c r="M25" s="125">
        <v>0.48761341996159691</v>
      </c>
      <c r="N25" s="125">
        <v>0.10280076083131046</v>
      </c>
      <c r="O25" s="91"/>
      <c r="P25" s="86"/>
      <c r="Q25" s="92"/>
    </row>
    <row r="26" spans="1:17" ht="15" customHeight="1" x14ac:dyDescent="0.2">
      <c r="A26" s="116" t="s">
        <v>114</v>
      </c>
      <c r="B26" s="126">
        <v>13965340</v>
      </c>
      <c r="C26" s="117"/>
      <c r="D26" s="117">
        <v>6749738</v>
      </c>
      <c r="E26" s="117">
        <v>9648017</v>
      </c>
      <c r="F26" s="117">
        <f t="shared" si="0"/>
        <v>16397755</v>
      </c>
      <c r="G26" s="117">
        <v>3568887</v>
      </c>
      <c r="H26" s="117"/>
      <c r="I26" s="117">
        <v>1330246</v>
      </c>
      <c r="J26" s="126">
        <v>35262228</v>
      </c>
      <c r="K26" s="117"/>
      <c r="L26" s="127">
        <v>0.39604247354988459</v>
      </c>
      <c r="M26" s="127">
        <v>0.56623313762250072</v>
      </c>
      <c r="N26" s="127">
        <v>3.7724388827614634E-2</v>
      </c>
      <c r="O26" s="91"/>
      <c r="P26" s="86"/>
      <c r="Q26" s="92"/>
    </row>
    <row r="27" spans="1:17" ht="15" customHeight="1" x14ac:dyDescent="0.2">
      <c r="A27" s="128" t="s">
        <v>64</v>
      </c>
      <c r="B27" s="129">
        <v>7834605</v>
      </c>
      <c r="C27" s="130"/>
      <c r="D27" s="130">
        <v>5041614</v>
      </c>
      <c r="E27" s="130">
        <v>2769042</v>
      </c>
      <c r="F27" s="130">
        <f t="shared" si="0"/>
        <v>7810656</v>
      </c>
      <c r="G27" s="130">
        <v>2200235</v>
      </c>
      <c r="H27" s="130"/>
      <c r="I27" s="130">
        <v>963706</v>
      </c>
      <c r="J27" s="129">
        <v>18809202</v>
      </c>
      <c r="K27" s="130"/>
      <c r="L27" s="131">
        <v>0.41653043015860003</v>
      </c>
      <c r="M27" s="131">
        <v>0.5322336907222327</v>
      </c>
      <c r="N27" s="131">
        <v>5.1235879119167313E-2</v>
      </c>
      <c r="O27" s="91"/>
      <c r="P27" s="86"/>
      <c r="Q27" s="92"/>
    </row>
    <row r="28" spans="1:17" ht="15" customHeight="1" x14ac:dyDescent="0.2">
      <c r="A28" s="90" t="s">
        <v>60</v>
      </c>
      <c r="B28" s="124">
        <v>10050899</v>
      </c>
      <c r="C28" s="89"/>
      <c r="D28" s="89">
        <v>6250048</v>
      </c>
      <c r="E28" s="89">
        <v>5925112</v>
      </c>
      <c r="F28" s="89">
        <f t="shared" si="0"/>
        <v>12175160</v>
      </c>
      <c r="G28" s="89">
        <v>2382356</v>
      </c>
      <c r="H28" s="89"/>
      <c r="I28" s="89">
        <v>2725806</v>
      </c>
      <c r="J28" s="124">
        <v>27334221</v>
      </c>
      <c r="K28" s="89"/>
      <c r="L28" s="125">
        <v>0.36770387566559881</v>
      </c>
      <c r="M28" s="125">
        <v>0.53257475309064051</v>
      </c>
      <c r="N28" s="125">
        <v>9.9721371243760709E-2</v>
      </c>
      <c r="O28" s="91"/>
      <c r="P28" s="86"/>
      <c r="Q28" s="92"/>
    </row>
    <row r="29" spans="1:17" ht="15" customHeight="1" x14ac:dyDescent="0.2">
      <c r="A29" s="116" t="s">
        <v>120</v>
      </c>
      <c r="B29" s="126">
        <v>4134803</v>
      </c>
      <c r="C29" s="117"/>
      <c r="D29" s="117">
        <v>2217132</v>
      </c>
      <c r="E29" s="117">
        <v>2754297</v>
      </c>
      <c r="F29" s="117">
        <f t="shared" si="0"/>
        <v>4971429</v>
      </c>
      <c r="G29" s="117">
        <v>0</v>
      </c>
      <c r="H29" s="117"/>
      <c r="I29" s="117">
        <v>488054</v>
      </c>
      <c r="J29" s="126">
        <v>9594286</v>
      </c>
      <c r="K29" s="117"/>
      <c r="L29" s="127">
        <v>0.43096515988787493</v>
      </c>
      <c r="M29" s="127">
        <v>0.5181656039855389</v>
      </c>
      <c r="N29" s="127">
        <v>5.0869236126586177E-2</v>
      </c>
      <c r="O29" s="91"/>
      <c r="P29" s="86"/>
      <c r="Q29" s="92"/>
    </row>
    <row r="30" spans="1:17" ht="15" customHeight="1" x14ac:dyDescent="0.2">
      <c r="A30" s="128" t="s">
        <v>61</v>
      </c>
      <c r="B30" s="129">
        <v>3278989</v>
      </c>
      <c r="C30" s="130"/>
      <c r="D30" s="130">
        <v>2859664</v>
      </c>
      <c r="E30" s="130">
        <v>1663971</v>
      </c>
      <c r="F30" s="130">
        <f t="shared" si="0"/>
        <v>4523635</v>
      </c>
      <c r="G30" s="130">
        <v>688075</v>
      </c>
      <c r="H30" s="130"/>
      <c r="I30" s="130">
        <v>611785</v>
      </c>
      <c r="J30" s="129">
        <v>9102484</v>
      </c>
      <c r="K30" s="130"/>
      <c r="L30" s="131">
        <v>0.36023013058852948</v>
      </c>
      <c r="M30" s="131">
        <v>0.57255909485806289</v>
      </c>
      <c r="N30" s="131">
        <v>6.7210774553407626E-2</v>
      </c>
      <c r="O30" s="91"/>
      <c r="P30" s="86"/>
      <c r="Q30" s="92"/>
    </row>
    <row r="31" spans="1:17" ht="15" customHeight="1" x14ac:dyDescent="0.2">
      <c r="A31" s="90" t="s">
        <v>62</v>
      </c>
      <c r="B31" s="124">
        <v>13511290</v>
      </c>
      <c r="C31" s="89"/>
      <c r="D31" s="89">
        <v>5924870</v>
      </c>
      <c r="E31" s="89">
        <v>3814846</v>
      </c>
      <c r="F31" s="89">
        <f t="shared" si="0"/>
        <v>9739716</v>
      </c>
      <c r="G31" s="89">
        <v>1568971</v>
      </c>
      <c r="H31" s="89"/>
      <c r="I31" s="89">
        <v>1636046</v>
      </c>
      <c r="J31" s="124">
        <v>26456023</v>
      </c>
      <c r="K31" s="89"/>
      <c r="L31" s="125">
        <v>0.51070752395399721</v>
      </c>
      <c r="M31" s="125">
        <v>0.42745226672958364</v>
      </c>
      <c r="N31" s="125">
        <v>6.1840209316419176E-2</v>
      </c>
      <c r="O31" s="91"/>
      <c r="P31" s="86"/>
      <c r="Q31" s="92"/>
    </row>
    <row r="32" spans="1:17" ht="15" customHeight="1" x14ac:dyDescent="0.2">
      <c r="A32" s="116" t="s">
        <v>66</v>
      </c>
      <c r="B32" s="126">
        <v>31449135</v>
      </c>
      <c r="C32" s="117"/>
      <c r="D32" s="117">
        <v>19224346</v>
      </c>
      <c r="E32" s="117">
        <v>20538692</v>
      </c>
      <c r="F32" s="117">
        <f t="shared" si="0"/>
        <v>39763038</v>
      </c>
      <c r="G32" s="117">
        <v>9406546</v>
      </c>
      <c r="H32" s="117"/>
      <c r="I32" s="117">
        <v>13321341</v>
      </c>
      <c r="J32" s="126">
        <v>93940060</v>
      </c>
      <c r="K32" s="117"/>
      <c r="L32" s="127">
        <v>0.33477874082686343</v>
      </c>
      <c r="M32" s="127">
        <v>0.5234144410808339</v>
      </c>
      <c r="N32" s="127">
        <v>0.14180681809230269</v>
      </c>
      <c r="O32" s="91"/>
      <c r="P32" s="86"/>
      <c r="Q32" s="92"/>
    </row>
    <row r="33" spans="1:17" ht="15" customHeight="1" x14ac:dyDescent="0.2">
      <c r="A33" s="128" t="s">
        <v>58</v>
      </c>
      <c r="B33" s="129">
        <v>7885829</v>
      </c>
      <c r="C33" s="130"/>
      <c r="D33" s="130">
        <v>3706744</v>
      </c>
      <c r="E33" s="130">
        <v>3694378</v>
      </c>
      <c r="F33" s="130">
        <f t="shared" si="0"/>
        <v>7401122</v>
      </c>
      <c r="G33" s="130">
        <v>1184918</v>
      </c>
      <c r="H33" s="130"/>
      <c r="I33" s="130">
        <v>1773732</v>
      </c>
      <c r="J33" s="129">
        <v>18245601</v>
      </c>
      <c r="K33" s="130"/>
      <c r="L33" s="131">
        <v>0.43220439819987294</v>
      </c>
      <c r="M33" s="131">
        <v>0.47058137465573208</v>
      </c>
      <c r="N33" s="131">
        <v>9.7214227144394968E-2</v>
      </c>
      <c r="O33" s="91"/>
      <c r="P33" s="86"/>
      <c r="Q33" s="92"/>
    </row>
    <row r="34" spans="1:17" ht="15" customHeight="1" x14ac:dyDescent="0.2">
      <c r="A34" s="90" t="s">
        <v>67</v>
      </c>
      <c r="B34" s="124">
        <v>8499060</v>
      </c>
      <c r="C34" s="89"/>
      <c r="D34" s="89">
        <v>3250499</v>
      </c>
      <c r="E34" s="89">
        <v>5041802</v>
      </c>
      <c r="F34" s="89">
        <f t="shared" si="0"/>
        <v>8292301</v>
      </c>
      <c r="G34" s="89">
        <v>1875942</v>
      </c>
      <c r="H34" s="89"/>
      <c r="I34" s="89">
        <v>1651702</v>
      </c>
      <c r="J34" s="124">
        <v>20319005</v>
      </c>
      <c r="K34" s="89"/>
      <c r="L34" s="125">
        <v>0.41828130855817003</v>
      </c>
      <c r="M34" s="125">
        <v>0.50043016378016547</v>
      </c>
      <c r="N34" s="125">
        <v>8.1288527661664542E-2</v>
      </c>
      <c r="O34" s="91"/>
      <c r="P34" s="86"/>
      <c r="Q34" s="92"/>
    </row>
    <row r="35" spans="1:17" ht="15" customHeight="1" x14ac:dyDescent="0.2">
      <c r="A35" s="116" t="s">
        <v>68</v>
      </c>
      <c r="B35" s="126">
        <v>4895700</v>
      </c>
      <c r="C35" s="117"/>
      <c r="D35" s="117">
        <v>2719330</v>
      </c>
      <c r="E35" s="117">
        <v>2976339</v>
      </c>
      <c r="F35" s="117">
        <f t="shared" si="0"/>
        <v>5695669</v>
      </c>
      <c r="G35" s="117">
        <v>1449642</v>
      </c>
      <c r="H35" s="117"/>
      <c r="I35" s="117">
        <v>412237</v>
      </c>
      <c r="J35" s="126">
        <v>12453248</v>
      </c>
      <c r="K35" s="117"/>
      <c r="L35" s="127">
        <v>0.39312635546967345</v>
      </c>
      <c r="M35" s="127">
        <v>0.57377087487537393</v>
      </c>
      <c r="N35" s="127">
        <v>3.3102769654952666E-2</v>
      </c>
      <c r="O35" s="91"/>
      <c r="P35" s="86"/>
      <c r="Q35" s="92"/>
    </row>
    <row r="36" spans="1:17" ht="15" customHeight="1" x14ac:dyDescent="0.2">
      <c r="A36" s="90" t="s">
        <v>117</v>
      </c>
      <c r="B36" s="124">
        <v>14602933</v>
      </c>
      <c r="C36" s="89"/>
      <c r="D36" s="89">
        <v>5262038</v>
      </c>
      <c r="E36" s="89">
        <v>4317030</v>
      </c>
      <c r="F36" s="89">
        <f t="shared" si="0"/>
        <v>9579068</v>
      </c>
      <c r="G36" s="89">
        <v>2536707</v>
      </c>
      <c r="H36" s="89"/>
      <c r="I36" s="89">
        <v>911663</v>
      </c>
      <c r="J36" s="124">
        <v>27630371</v>
      </c>
      <c r="K36" s="89"/>
      <c r="L36" s="125">
        <v>0.52851020350034383</v>
      </c>
      <c r="M36" s="125">
        <v>0.43849483599043965</v>
      </c>
      <c r="N36" s="125">
        <v>3.2994960509216471E-2</v>
      </c>
      <c r="O36" s="91"/>
      <c r="P36" s="86"/>
      <c r="Q36" s="92"/>
    </row>
    <row r="37" spans="1:17" ht="15" customHeight="1" x14ac:dyDescent="0.2">
      <c r="A37" s="116" t="s">
        <v>69</v>
      </c>
      <c r="B37" s="126">
        <v>11133173</v>
      </c>
      <c r="C37" s="117"/>
      <c r="D37" s="117">
        <v>7442397</v>
      </c>
      <c r="E37" s="117">
        <v>6238957</v>
      </c>
      <c r="F37" s="117">
        <f t="shared" si="0"/>
        <v>13681354</v>
      </c>
      <c r="G37" s="117">
        <v>2969259</v>
      </c>
      <c r="H37" s="117"/>
      <c r="I37" s="117">
        <v>2086426</v>
      </c>
      <c r="J37" s="126">
        <v>29870212</v>
      </c>
      <c r="K37" s="117"/>
      <c r="L37" s="127">
        <v>0.37271824518687713</v>
      </c>
      <c r="M37" s="127">
        <v>0.55743203295644506</v>
      </c>
      <c r="N37" s="127">
        <v>6.9849721856677816E-2</v>
      </c>
      <c r="O37" s="91"/>
      <c r="P37" s="86"/>
      <c r="Q37" s="92"/>
    </row>
    <row r="38" spans="1:17" ht="15" customHeight="1" thickBot="1" x14ac:dyDescent="0.25">
      <c r="A38" s="105" t="s">
        <v>75</v>
      </c>
      <c r="B38" s="132">
        <f t="shared" ref="B38:J38" si="1">SUM(B9:B37)</f>
        <v>305046488</v>
      </c>
      <c r="C38" s="133"/>
      <c r="D38" s="133">
        <f t="shared" si="1"/>
        <v>155814945</v>
      </c>
      <c r="E38" s="133">
        <f t="shared" si="1"/>
        <v>151169426</v>
      </c>
      <c r="F38" s="133">
        <f t="shared" si="1"/>
        <v>306984371</v>
      </c>
      <c r="G38" s="133">
        <f t="shared" si="1"/>
        <v>66677346</v>
      </c>
      <c r="H38" s="133"/>
      <c r="I38" s="134">
        <f t="shared" si="1"/>
        <v>55240803</v>
      </c>
      <c r="J38" s="135">
        <f t="shared" si="1"/>
        <v>733949008</v>
      </c>
      <c r="K38" s="137"/>
      <c r="L38" s="136">
        <v>0.41562354424491571</v>
      </c>
      <c r="M38" s="136">
        <v>0.50911127738727047</v>
      </c>
      <c r="N38" s="136">
        <v>7.5265178367813809E-2</v>
      </c>
      <c r="O38" s="91"/>
    </row>
    <row r="39" spans="1:17" ht="15" customHeight="1" x14ac:dyDescent="0.2">
      <c r="A39" s="94"/>
      <c r="B39" s="95"/>
      <c r="C39" s="95"/>
      <c r="D39" s="95"/>
      <c r="E39" s="95"/>
      <c r="F39" s="95"/>
      <c r="G39" s="95"/>
      <c r="H39" s="95"/>
      <c r="I39" s="96"/>
      <c r="J39" s="97"/>
      <c r="K39" s="97"/>
      <c r="L39" s="88"/>
      <c r="M39" s="98"/>
      <c r="N39" s="98"/>
      <c r="O39" s="91"/>
    </row>
    <row r="40" spans="1:17" ht="15" customHeight="1" x14ac:dyDescent="0.2">
      <c r="H40" s="95"/>
      <c r="I40" s="95"/>
      <c r="J40" s="95"/>
      <c r="P40" s="98"/>
    </row>
    <row r="41" spans="1:17" ht="15" customHeight="1" x14ac:dyDescent="0.2">
      <c r="A41" s="104" t="s">
        <v>125</v>
      </c>
    </row>
    <row r="42" spans="1:17" ht="15" customHeight="1" x14ac:dyDescent="0.2">
      <c r="A42" s="103" t="s">
        <v>135</v>
      </c>
    </row>
    <row r="43" spans="1:17" ht="15" customHeight="1" x14ac:dyDescent="0.2">
      <c r="A43" s="104" t="s">
        <v>126</v>
      </c>
    </row>
    <row r="44" spans="1:17" ht="15" customHeight="1" x14ac:dyDescent="0.2">
      <c r="A44" s="103" t="s">
        <v>136</v>
      </c>
    </row>
    <row r="45" spans="1:17" ht="15" customHeight="1" x14ac:dyDescent="0.2">
      <c r="A45" s="103"/>
    </row>
    <row r="46" spans="1:17" ht="15" customHeight="1" x14ac:dyDescent="0.2">
      <c r="A46" s="103" t="s">
        <v>144</v>
      </c>
    </row>
    <row r="47" spans="1:17" ht="15" customHeight="1" x14ac:dyDescent="0.2">
      <c r="A47" s="103"/>
    </row>
    <row r="48" spans="1:17" x14ac:dyDescent="0.2">
      <c r="A48" s="114" t="s">
        <v>145</v>
      </c>
    </row>
    <row r="49" spans="1:1" x14ac:dyDescent="0.2">
      <c r="A49" s="114"/>
    </row>
  </sheetData>
  <mergeCells count="3">
    <mergeCell ref="B6:B7"/>
    <mergeCell ref="L7:N7"/>
    <mergeCell ref="D7:G7"/>
  </mergeCells>
  <phoneticPr fontId="0" type="noConversion"/>
  <pageMargins left="0.4" right="0.17" top="0.49" bottom="0.52" header="0.511811023622047" footer="0.52"/>
  <pageSetup paperSize="17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03-04 Source</vt:lpstr>
      <vt:lpstr>04-05</vt:lpstr>
      <vt:lpstr>05-06</vt:lpstr>
      <vt:lpstr>Table</vt:lpstr>
    </vt:vector>
  </TitlesOfParts>
  <Company>CAUT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Larry Dufay</cp:lastModifiedBy>
  <cp:lastPrinted>2016-07-20T13:54:24Z</cp:lastPrinted>
  <dcterms:created xsi:type="dcterms:W3CDTF">2004-10-13T19:35:45Z</dcterms:created>
  <dcterms:modified xsi:type="dcterms:W3CDTF">2017-03-21T18:54:15Z</dcterms:modified>
</cp:coreProperties>
</file>